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-jihocesky.cz\dfs\vhome\wogebauerova\home\Dokuments\WORD\PRVKÚC\změna_č_6\"/>
    </mc:Choice>
  </mc:AlternateContent>
  <bookViews>
    <workbookView xWindow="30" yWindow="-45" windowWidth="17850" windowHeight="12780" tabRatio="753"/>
  </bookViews>
  <sheets>
    <sheet name="3101_Blatná" sheetId="20" r:id="rId1"/>
    <sheet name="3102_České_Budějovice" sheetId="21" r:id="rId2"/>
    <sheet name="3103_Český Krumlov" sheetId="25" r:id="rId3"/>
    <sheet name="3104_Dačice" sheetId="28" r:id="rId4"/>
    <sheet name="3105_Jindřichův Hradec" sheetId="29" r:id="rId5"/>
    <sheet name="3106_Kaplice" sheetId="30" r:id="rId6"/>
    <sheet name="3107_Milevsko" sheetId="31" r:id="rId7"/>
    <sheet name="3108_Písek" sheetId="32" r:id="rId8"/>
    <sheet name="3109_Prachatice" sheetId="33" r:id="rId9"/>
    <sheet name="3110_Soběslav" sheetId="34" r:id="rId10"/>
    <sheet name="3111_Strakonice" sheetId="35" r:id="rId11"/>
    <sheet name="3112_Tábor" sheetId="36" r:id="rId12"/>
    <sheet name="3113_Trhové_Sviny" sheetId="37" r:id="rId13"/>
    <sheet name="3114_Třeboň" sheetId="38" r:id="rId14"/>
    <sheet name="3115_Týn nad Vltavou" sheetId="39" r:id="rId15"/>
    <sheet name="3116_Vimperk" sheetId="40" r:id="rId16"/>
    <sheet name="3117_Vodňany" sheetId="41" r:id="rId17"/>
  </sheets>
  <definedNames>
    <definedName name="_xlnm._FilterDatabase" localSheetId="0" hidden="1">'3101_Blatná'!$A$3:$O$6</definedName>
    <definedName name="_xlnm._FilterDatabase" localSheetId="1" hidden="1">'3102_České_Budějovice'!$A$3:$O$68</definedName>
    <definedName name="_xlnm._FilterDatabase" localSheetId="2" hidden="1">'3103_Český Krumlov'!$A$3:$O$39</definedName>
    <definedName name="_xlnm._FilterDatabase" localSheetId="3" hidden="1">'3104_Dačice'!$A$3:$O$47</definedName>
    <definedName name="_xlnm._FilterDatabase" localSheetId="4" hidden="1">'3105_Jindřichův Hradec'!$A$3:$O$35</definedName>
    <definedName name="_xlnm._FilterDatabase" localSheetId="5" hidden="1">'3106_Kaplice'!$A$3:$O$23</definedName>
    <definedName name="_xlnm._FilterDatabase" localSheetId="6" hidden="1">'3107_Milevsko'!$A$3:$O$10</definedName>
    <definedName name="_xlnm._FilterDatabase" localSheetId="7" hidden="1">'3108_Písek'!$A$3:$O$31</definedName>
    <definedName name="_xlnm._FilterDatabase" localSheetId="8" hidden="1">'3109_Prachatice'!$A$3:$O$20</definedName>
    <definedName name="_xlnm._FilterDatabase" localSheetId="9" hidden="1">'3110_Soběslav'!$A$3:$O$16</definedName>
    <definedName name="_xlnm._FilterDatabase" localSheetId="10" hidden="1">'3111_Strakonice'!$A$3:$O$44</definedName>
    <definedName name="_xlnm._FilterDatabase" localSheetId="11" hidden="1">'3112_Tábor'!$A$3:$O$53</definedName>
    <definedName name="_xlnm._FilterDatabase" localSheetId="12" hidden="1">'3113_Trhové_Sviny'!$A$3:$O$42</definedName>
    <definedName name="_xlnm._FilterDatabase" localSheetId="13" hidden="1">'3114_Třeboň'!$A$3:$O$20</definedName>
    <definedName name="_xlnm._FilterDatabase" localSheetId="14" hidden="1">'3115_Týn nad Vltavou'!$A$3:$O$23</definedName>
    <definedName name="_xlnm._FilterDatabase" localSheetId="15" hidden="1">'3116_Vimperk'!$A$3:$O$8</definedName>
    <definedName name="_xlnm._FilterDatabase" localSheetId="16" hidden="1">'3117_Vodňany'!$A$3:$O$17</definedName>
    <definedName name="_Toc268597648" localSheetId="0">'3101_Blatná'!#REF!</definedName>
    <definedName name="_Toc268597648" localSheetId="1">'3102_České_Budějovice'!#REF!</definedName>
    <definedName name="_Toc268597648" localSheetId="2">'3103_Český Krumlov'!#REF!</definedName>
    <definedName name="_Toc268597648" localSheetId="3">'3104_Dačice'!#REF!</definedName>
    <definedName name="_Toc268597648" localSheetId="4">'3105_Jindřichův Hradec'!#REF!</definedName>
    <definedName name="_Toc268597648" localSheetId="5">'3106_Kaplice'!#REF!</definedName>
    <definedName name="_Toc268597648" localSheetId="6">'3107_Milevsko'!#REF!</definedName>
    <definedName name="_Toc268597648" localSheetId="7">'3108_Písek'!#REF!</definedName>
    <definedName name="_Toc268597648" localSheetId="8">'3109_Prachatice'!#REF!</definedName>
    <definedName name="_Toc268597648" localSheetId="9">'3110_Soběslav'!#REF!</definedName>
    <definedName name="_Toc268597648" localSheetId="10">'3111_Strakonice'!#REF!</definedName>
    <definedName name="_Toc268597648" localSheetId="11">'3112_Tábor'!#REF!</definedName>
    <definedName name="_Toc268597648" localSheetId="12">'3113_Trhové_Sviny'!#REF!</definedName>
    <definedName name="_Toc268597648" localSheetId="13">'3114_Třeboň'!#REF!</definedName>
    <definedName name="_Toc268597648" localSheetId="14">'3115_Týn nad Vltavou'!#REF!</definedName>
    <definedName name="_Toc268597648" localSheetId="15">'3116_Vimperk'!#REF!</definedName>
    <definedName name="_Toc268597648" localSheetId="16">'3117_Vodňany'!#REF!</definedName>
    <definedName name="_xlnm.Print_Titles" localSheetId="0">'3101_Blatná'!$1:$2</definedName>
    <definedName name="_xlnm.Print_Titles" localSheetId="1">'3102_České_Budějovice'!$1:$2</definedName>
    <definedName name="_xlnm.Print_Titles" localSheetId="2">'3103_Český Krumlov'!$1:$2</definedName>
    <definedName name="_xlnm.Print_Titles" localSheetId="3">'3104_Dačice'!$1:$2</definedName>
    <definedName name="_xlnm.Print_Titles" localSheetId="4">'3105_Jindřichův Hradec'!$1:$2</definedName>
    <definedName name="_xlnm.Print_Titles" localSheetId="5">'3106_Kaplice'!$1:$2</definedName>
    <definedName name="_xlnm.Print_Titles" localSheetId="6">'3107_Milevsko'!$1:$2</definedName>
    <definedName name="_xlnm.Print_Titles" localSheetId="7">'3108_Písek'!$1:$2</definedName>
    <definedName name="_xlnm.Print_Titles" localSheetId="8">'3109_Prachatice'!$1:$2</definedName>
    <definedName name="_xlnm.Print_Titles" localSheetId="9">'3110_Soběslav'!$1:$2</definedName>
    <definedName name="_xlnm.Print_Titles" localSheetId="10">'3111_Strakonice'!$1:$2</definedName>
    <definedName name="_xlnm.Print_Titles" localSheetId="11">'3112_Tábor'!$1:$2</definedName>
    <definedName name="_xlnm.Print_Titles" localSheetId="12">'3113_Trhové_Sviny'!$1:$2</definedName>
    <definedName name="_xlnm.Print_Titles" localSheetId="13">'3114_Třeboň'!$1:$2</definedName>
    <definedName name="_xlnm.Print_Titles" localSheetId="14">'3115_Týn nad Vltavou'!$1:$2</definedName>
    <definedName name="_xlnm.Print_Titles" localSheetId="15">'3116_Vimperk'!$1:$2</definedName>
    <definedName name="_xlnm.Print_Titles" localSheetId="16">'3117_Vodňany'!$1:$2</definedName>
    <definedName name="_xlnm.Print_Area" localSheetId="0">'3101_Blatná'!$A$1:$O$6</definedName>
    <definedName name="_xlnm.Print_Area" localSheetId="1">'3102_České_Budějovice'!$A$1:$O$68</definedName>
    <definedName name="_xlnm.Print_Area" localSheetId="2">'3103_Český Krumlov'!$A$1:$O$39</definedName>
    <definedName name="_xlnm.Print_Area" localSheetId="3">'3104_Dačice'!$A$1:$O$47</definedName>
    <definedName name="_xlnm.Print_Area" localSheetId="4">'3105_Jindřichův Hradec'!$A$1:$O$35</definedName>
    <definedName name="_xlnm.Print_Area" localSheetId="5">'3106_Kaplice'!$A$1:$O$23</definedName>
    <definedName name="_xlnm.Print_Area" localSheetId="6">'3107_Milevsko'!$A$1:$O$10</definedName>
    <definedName name="_xlnm.Print_Area" localSheetId="7">'3108_Písek'!$A$1:$O$31</definedName>
    <definedName name="_xlnm.Print_Area" localSheetId="8">'3109_Prachatice'!$A$1:$O$20</definedName>
    <definedName name="_xlnm.Print_Area" localSheetId="9">'3110_Soběslav'!$A$1:$O$16</definedName>
    <definedName name="_xlnm.Print_Area" localSheetId="10">'3111_Strakonice'!$A$1:$O$44</definedName>
    <definedName name="_xlnm.Print_Area" localSheetId="11">'3112_Tábor'!$A$1:$O$53</definedName>
    <definedName name="_xlnm.Print_Area" localSheetId="12">'3113_Trhové_Sviny'!$A$1:$O$42</definedName>
    <definedName name="_xlnm.Print_Area" localSheetId="13">'3114_Třeboň'!$A$1:$O$21</definedName>
    <definedName name="_xlnm.Print_Area" localSheetId="14">'3115_Týn nad Vltavou'!$A$1:$O$23</definedName>
    <definedName name="_xlnm.Print_Area" localSheetId="15">'3116_Vimperk'!$A$1:$O$8</definedName>
    <definedName name="_xlnm.Print_Area" localSheetId="16">'3117_Vodňany'!$A$1:$O$17</definedName>
  </definedNames>
  <calcPr calcId="152511"/>
</workbook>
</file>

<file path=xl/calcChain.xml><?xml version="1.0" encoding="utf-8"?>
<calcChain xmlns="http://schemas.openxmlformats.org/spreadsheetml/2006/main">
  <c r="A5" i="21" l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17" i="28"/>
  <c r="O24" i="28"/>
  <c r="N18" i="28"/>
  <c r="O18" i="28" s="1"/>
  <c r="O5" i="28"/>
  <c r="O12" i="41"/>
  <c r="O14" i="41"/>
  <c r="O6" i="38"/>
  <c r="O8" i="38"/>
  <c r="O9" i="38"/>
  <c r="O10" i="38"/>
  <c r="O11" i="38"/>
  <c r="O21" i="38"/>
  <c r="O26" i="37"/>
  <c r="O8" i="37"/>
  <c r="O5" i="36"/>
  <c r="O9" i="36"/>
  <c r="O19" i="36"/>
  <c r="O22" i="36"/>
  <c r="O39" i="36"/>
  <c r="O40" i="36"/>
  <c r="O45" i="36"/>
  <c r="O46" i="36"/>
  <c r="O47" i="36"/>
  <c r="O48" i="36"/>
  <c r="O50" i="36"/>
  <c r="O51" i="36"/>
  <c r="O52" i="36"/>
  <c r="O53" i="36"/>
  <c r="O4" i="36"/>
  <c r="O12" i="35"/>
  <c r="O24" i="35"/>
  <c r="O36" i="35"/>
  <c r="O4" i="35"/>
  <c r="O5" i="34"/>
  <c r="O5" i="33"/>
  <c r="O7" i="33"/>
  <c r="O12" i="33"/>
  <c r="O13" i="33"/>
  <c r="O16" i="33"/>
  <c r="O14" i="32"/>
  <c r="O15" i="32"/>
  <c r="O16" i="32"/>
  <c r="O18" i="32"/>
  <c r="O21" i="32"/>
  <c r="O28" i="32"/>
  <c r="O29" i="32"/>
  <c r="O13" i="32"/>
  <c r="O8" i="31"/>
  <c r="O4" i="31"/>
  <c r="O14" i="30"/>
  <c r="O18" i="30"/>
  <c r="O19" i="30"/>
  <c r="O23" i="30"/>
  <c r="O12" i="30"/>
  <c r="O5" i="29"/>
  <c r="O6" i="29"/>
  <c r="O14" i="29"/>
  <c r="O18" i="29"/>
  <c r="O19" i="29"/>
  <c r="O21" i="29"/>
  <c r="O24" i="29"/>
  <c r="O26" i="29"/>
  <c r="O27" i="29"/>
  <c r="O28" i="29"/>
  <c r="O30" i="29"/>
  <c r="O31" i="29"/>
  <c r="O33" i="29"/>
  <c r="O4" i="29"/>
  <c r="O10" i="25"/>
  <c r="O11" i="25"/>
  <c r="O13" i="25"/>
  <c r="O15" i="25"/>
  <c r="O17" i="25"/>
  <c r="O18" i="25"/>
  <c r="O19" i="25"/>
  <c r="O20" i="25"/>
  <c r="O21" i="25"/>
  <c r="O29" i="25"/>
  <c r="O34" i="25"/>
  <c r="O38" i="25"/>
  <c r="O39" i="25"/>
  <c r="O6" i="25"/>
  <c r="O41" i="21"/>
  <c r="O48" i="21"/>
  <c r="O59" i="21"/>
  <c r="O60" i="21"/>
  <c r="O61" i="21"/>
  <c r="O7" i="21"/>
  <c r="O9" i="21"/>
  <c r="O24" i="21"/>
  <c r="O25" i="21"/>
  <c r="O26" i="21"/>
  <c r="O27" i="21"/>
  <c r="O28" i="21"/>
  <c r="O29" i="21"/>
  <c r="O30" i="21"/>
  <c r="O6" i="20"/>
  <c r="O4" i="20"/>
  <c r="N29" i="29"/>
  <c r="O29" i="29" s="1"/>
  <c r="N25" i="29"/>
  <c r="O25" i="29" s="1"/>
  <c r="N23" i="29"/>
  <c r="O23" i="29" s="1"/>
  <c r="N22" i="29"/>
  <c r="O22" i="29" s="1"/>
  <c r="N20" i="30"/>
  <c r="O20" i="30" s="1"/>
  <c r="N17" i="32"/>
  <c r="O17" i="32" s="1"/>
  <c r="N15" i="33"/>
  <c r="O15" i="33" s="1"/>
  <c r="N4" i="33"/>
  <c r="O4" i="33" s="1"/>
  <c r="N14" i="34"/>
  <c r="O14" i="34" s="1"/>
  <c r="N12" i="34"/>
  <c r="O12" i="34" s="1"/>
  <c r="N11" i="34"/>
  <c r="O11" i="34" s="1"/>
  <c r="N6" i="34"/>
  <c r="O6" i="34" s="1"/>
  <c r="N39" i="35"/>
  <c r="O39" i="35" s="1"/>
  <c r="N44" i="35"/>
  <c r="O44" i="35" s="1"/>
  <c r="N43" i="35"/>
  <c r="O43" i="35" s="1"/>
  <c r="N35" i="35"/>
  <c r="O35" i="35" s="1"/>
  <c r="N22" i="35"/>
  <c r="O22" i="35" s="1"/>
  <c r="N21" i="35"/>
  <c r="O21" i="35" s="1"/>
  <c r="N20" i="35"/>
  <c r="O20" i="35" s="1"/>
  <c r="N11" i="35"/>
  <c r="O11" i="35" s="1"/>
  <c r="N5" i="35"/>
  <c r="O5" i="35" s="1"/>
  <c r="N49" i="36"/>
  <c r="O49" i="36" s="1"/>
  <c r="N41" i="36"/>
  <c r="O41" i="36" s="1"/>
  <c r="N10" i="36"/>
  <c r="O10" i="36" s="1"/>
  <c r="N22" i="37"/>
  <c r="O22" i="37" s="1"/>
  <c r="N20" i="37"/>
  <c r="O20" i="37" s="1"/>
  <c r="N19" i="37"/>
  <c r="O19" i="37" s="1"/>
  <c r="N17" i="37"/>
  <c r="O17" i="37" s="1"/>
  <c r="N18" i="37"/>
  <c r="O18" i="37" s="1"/>
  <c r="N15" i="37"/>
  <c r="O15" i="37" s="1"/>
  <c r="N14" i="37"/>
  <c r="O14" i="37" s="1"/>
  <c r="N13" i="37"/>
  <c r="O13" i="37" s="1"/>
  <c r="N12" i="37"/>
  <c r="O12" i="37" s="1"/>
  <c r="A5" i="37"/>
  <c r="N20" i="38"/>
  <c r="O20" i="38" s="1"/>
  <c r="N5" i="38"/>
  <c r="O5" i="38" s="1"/>
  <c r="N4" i="38"/>
  <c r="O4" i="38" s="1"/>
  <c r="N18" i="38"/>
  <c r="O18" i="38" s="1"/>
  <c r="N19" i="38"/>
  <c r="O19" i="38" s="1"/>
  <c r="N4" i="40"/>
  <c r="O4" i="40" s="1"/>
  <c r="N17" i="41"/>
  <c r="O17" i="41" s="1"/>
  <c r="N16" i="41"/>
  <c r="O16" i="41" s="1"/>
  <c r="N15" i="41"/>
  <c r="O15" i="41" s="1"/>
  <c r="N13" i="41"/>
  <c r="O13" i="41" s="1"/>
  <c r="N11" i="41"/>
  <c r="O11" i="41" s="1"/>
  <c r="N10" i="41"/>
  <c r="O10" i="41" s="1"/>
  <c r="N5" i="41"/>
  <c r="O5" i="41" s="1"/>
  <c r="N4" i="41"/>
  <c r="O4" i="41" s="1"/>
  <c r="N53" i="21"/>
  <c r="O53" i="21" s="1"/>
  <c r="N52" i="21"/>
  <c r="O52" i="21" s="1"/>
  <c r="N45" i="21"/>
  <c r="O45" i="21" s="1"/>
  <c r="N42" i="21"/>
  <c r="O42" i="21" s="1"/>
  <c r="N36" i="21"/>
  <c r="O36" i="21" s="1"/>
  <c r="A4" i="40"/>
  <c r="A5" i="40" s="1"/>
  <c r="A5" i="39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4" i="36"/>
  <c r="A5" i="36" s="1"/>
  <c r="A5" i="35"/>
  <c r="A6" i="35" s="1"/>
  <c r="A7" i="35" s="1"/>
  <c r="A8" i="35" s="1"/>
  <c r="A9" i="35" s="1"/>
  <c r="A10" i="35" s="1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A4" i="33"/>
  <c r="A5" i="33" s="1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4" i="31"/>
  <c r="A5" i="31" s="1"/>
  <c r="A6" i="31" s="1"/>
  <c r="A7" i="31" s="1"/>
  <c r="A8" i="31" s="1"/>
  <c r="A9" i="31" s="1"/>
  <c r="A10" i="31" s="1"/>
  <c r="A4" i="29"/>
  <c r="A5" i="29" s="1"/>
  <c r="A6" i="29" s="1"/>
  <c r="A7" i="29" s="1"/>
  <c r="A8" i="29" s="1"/>
  <c r="A9" i="29" s="1"/>
  <c r="A4" i="41"/>
  <c r="A5" i="41" s="1"/>
  <c r="A6" i="41" s="1"/>
  <c r="A7" i="41" s="1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4" i="28"/>
  <c r="A5" i="28" s="1"/>
  <c r="A6" i="28" s="1"/>
  <c r="A7" i="28" s="1"/>
  <c r="A8" i="28" s="1"/>
  <c r="A4" i="25"/>
  <c r="A5" i="25" s="1"/>
  <c r="A6" i="25" s="1"/>
  <c r="A7" i="25" s="1"/>
  <c r="A8" i="25" s="1"/>
  <c r="A9" i="25" s="1"/>
  <c r="A10" i="25" s="1"/>
  <c r="A11" i="25" s="1"/>
  <c r="A4" i="20"/>
  <c r="A5" i="20" s="1"/>
  <c r="A9" i="28" l="1"/>
  <c r="A10" i="28" s="1"/>
  <c r="A11" i="28" s="1"/>
  <c r="A12" i="25"/>
  <c r="A13" i="25" s="1"/>
  <c r="A10" i="29"/>
  <c r="A11" i="29" s="1"/>
  <c r="A12" i="29" s="1"/>
  <c r="A13" i="29" s="1"/>
  <c r="A14" i="29" s="1"/>
  <c r="A15" i="29" s="1"/>
  <c r="A14" i="32"/>
  <c r="A16" i="32" s="1"/>
  <c r="A17" i="32" s="1"/>
  <c r="A18" i="32" s="1"/>
  <c r="A6" i="33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14" i="34"/>
  <c r="A15" i="34" s="1"/>
  <c r="A16" i="34" s="1"/>
  <c r="A11" i="35"/>
  <c r="A12" i="35" s="1"/>
  <c r="A13" i="35" s="1"/>
  <c r="A14" i="35" s="1"/>
  <c r="A15" i="35" s="1"/>
  <c r="A16" i="35" s="1"/>
  <c r="A17" i="35" s="1"/>
  <c r="A18" i="35" s="1"/>
  <c r="A19" i="35" s="1"/>
  <c r="A6" i="36"/>
  <c r="A7" i="36" s="1"/>
  <c r="A8" i="36" s="1"/>
  <c r="A9" i="36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2" i="28" l="1"/>
  <c r="A13" i="28" s="1"/>
  <c r="A14" i="28" s="1"/>
  <c r="A15" i="28" s="1"/>
  <c r="A16" i="28" s="1"/>
  <c r="A14" i="25"/>
  <c r="A15" i="25" s="1"/>
  <c r="A16" i="25" s="1"/>
  <c r="A17" i="25" s="1"/>
  <c r="A16" i="29"/>
  <c r="A17" i="29" s="1"/>
  <c r="A18" i="29" s="1"/>
  <c r="A19" i="29" s="1"/>
  <c r="A20" i="29" s="1"/>
  <c r="A21" i="29" s="1"/>
  <c r="A22" i="29" s="1"/>
  <c r="A23" i="29" s="1"/>
  <c r="A19" i="32"/>
  <c r="A20" i="32" s="1"/>
  <c r="A21" i="32" s="1"/>
  <c r="A22" i="32" s="1"/>
  <c r="A23" i="32" s="1"/>
  <c r="A24" i="32" s="1"/>
  <c r="A25" i="32" s="1"/>
  <c r="A20" i="35"/>
  <c r="A21" i="35" s="1"/>
  <c r="A22" i="35" s="1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17" i="37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17" i="28" l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18" i="25"/>
  <c r="A19" i="25" s="1"/>
  <c r="A20" i="25" s="1"/>
  <c r="A21" i="25" s="1"/>
  <c r="A22" i="25" s="1"/>
  <c r="A24" i="29"/>
  <c r="A25" i="29" s="1"/>
  <c r="A26" i="29" s="1"/>
  <c r="A26" i="32"/>
  <c r="A27" i="32" s="1"/>
  <c r="A28" i="32" s="1"/>
  <c r="A29" i="32" s="1"/>
  <c r="A30" i="32" s="1"/>
  <c r="A31" i="32" s="1"/>
  <c r="A23" i="35"/>
  <c r="A24" i="35" s="1"/>
  <c r="A25" i="35" s="1"/>
  <c r="A26" i="35" s="1"/>
  <c r="A27" i="35" s="1"/>
  <c r="A28" i="35" s="1"/>
  <c r="A29" i="35" s="1"/>
  <c r="A30" i="35" s="1"/>
  <c r="A22" i="36"/>
  <c r="A45" i="28" l="1"/>
  <c r="A46" i="28" s="1"/>
  <c r="A47" i="28" s="1"/>
  <c r="A28" i="28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23" i="25"/>
  <c r="A24" i="25" s="1"/>
  <c r="A27" i="29"/>
  <c r="A28" i="29" s="1"/>
  <c r="A29" i="29" s="1"/>
  <c r="A30" i="29" s="1"/>
  <c r="A31" i="29" s="1"/>
  <c r="A32" i="29" s="1"/>
  <c r="A33" i="29" s="1"/>
  <c r="A34" i="29" s="1"/>
  <c r="A35" i="29" s="1"/>
  <c r="A31" i="35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23" i="36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25" i="25" l="1"/>
  <c r="A26" i="25" s="1"/>
  <c r="A27" i="25" s="1"/>
  <c r="A28" i="25" s="1"/>
  <c r="A29" i="25" s="1"/>
  <c r="A30" i="25" s="1"/>
  <c r="A31" i="25" s="1"/>
  <c r="A44" i="35"/>
  <c r="A41" i="36"/>
  <c r="A42" i="36" s="1"/>
  <c r="A43" i="36" s="1"/>
  <c r="A44" i="36" l="1"/>
  <c r="A45" i="36" s="1"/>
  <c r="A46" i="36" s="1"/>
  <c r="A47" i="36" s="1"/>
  <c r="A48" i="36" s="1"/>
  <c r="A49" i="36" s="1"/>
  <c r="A50" i="36" s="1"/>
  <c r="A51" i="36" s="1"/>
  <c r="A52" i="36" s="1"/>
  <c r="A53" i="36" s="1"/>
  <c r="A32" i="25"/>
  <c r="A33" i="25" s="1"/>
  <c r="A34" i="25" s="1"/>
  <c r="A35" i="25" s="1"/>
  <c r="A36" i="25" s="1"/>
  <c r="A37" i="25" l="1"/>
  <c r="A38" i="25" s="1"/>
  <c r="A39" i="25" s="1"/>
</calcChain>
</file>

<file path=xl/sharedStrings.xml><?xml version="1.0" encoding="utf-8"?>
<sst xmlns="http://schemas.openxmlformats.org/spreadsheetml/2006/main" count="3120" uniqueCount="949">
  <si>
    <t>Dobev</t>
  </si>
  <si>
    <t>Malé Nepodřice</t>
  </si>
  <si>
    <t>Nová Dobev</t>
  </si>
  <si>
    <t>Oldřichov</t>
  </si>
  <si>
    <t>Písek</t>
  </si>
  <si>
    <t>Myšenec</t>
  </si>
  <si>
    <t>Protivín</t>
  </si>
  <si>
    <t>Žďár</t>
  </si>
  <si>
    <t>Sedlíkovice</t>
  </si>
  <si>
    <t>3111_041_01</t>
  </si>
  <si>
    <t>3112 TÁBOR</t>
  </si>
  <si>
    <t>Opařany</t>
  </si>
  <si>
    <t>3112_026_00</t>
  </si>
  <si>
    <t>3112_034_00</t>
  </si>
  <si>
    <t>3102_006_00</t>
  </si>
  <si>
    <t>3102_008_00</t>
  </si>
  <si>
    <t>3102_008_01</t>
  </si>
  <si>
    <t>3102_015_00</t>
  </si>
  <si>
    <t>3102_015_01</t>
  </si>
  <si>
    <t>3102_026_00</t>
  </si>
  <si>
    <t>3102_026_01</t>
  </si>
  <si>
    <t>3102_058_01</t>
  </si>
  <si>
    <t>3102_058_05</t>
  </si>
  <si>
    <t>3102_060_01</t>
  </si>
  <si>
    <t>3102_072_02</t>
  </si>
  <si>
    <t>Změna provozovatele vodovodu.</t>
  </si>
  <si>
    <t>3103_006_07</t>
  </si>
  <si>
    <t>3103_007_02</t>
  </si>
  <si>
    <t>3103_007_03</t>
  </si>
  <si>
    <t>3103_025_00</t>
  </si>
  <si>
    <t>Doplnění provozovatele.</t>
  </si>
  <si>
    <t>Okrouhlá Radouň</t>
  </si>
  <si>
    <t>Dolní Pěna</t>
  </si>
  <si>
    <t/>
  </si>
  <si>
    <t>Kájov</t>
  </si>
  <si>
    <t>3104 DAČICE</t>
  </si>
  <si>
    <t>3104_007_07</t>
  </si>
  <si>
    <t>Dolní Němčice</t>
  </si>
  <si>
    <t>3102_054_00</t>
  </si>
  <si>
    <t>Plav</t>
  </si>
  <si>
    <t>3104_020_00</t>
  </si>
  <si>
    <t>Studená</t>
  </si>
  <si>
    <t>3105 JINDŘICHŮV HRADEC</t>
  </si>
  <si>
    <t>Březnice</t>
  </si>
  <si>
    <t>Stará Vožice</t>
  </si>
  <si>
    <t>Řepeč</t>
  </si>
  <si>
    <t>Jetětice</t>
  </si>
  <si>
    <t>3107_008_00</t>
  </si>
  <si>
    <t>3107_008_01</t>
  </si>
  <si>
    <t>Červená</t>
  </si>
  <si>
    <t>Jickovice</t>
  </si>
  <si>
    <t>Kroclov</t>
  </si>
  <si>
    <t>Koroseky</t>
  </si>
  <si>
    <t>Slavče</t>
  </si>
  <si>
    <t xml:space="preserve">Změna </t>
  </si>
  <si>
    <t>3102_072_01</t>
  </si>
  <si>
    <t>Čejetice</t>
  </si>
  <si>
    <t>Mladějovice</t>
  </si>
  <si>
    <t>Sudoměř</t>
  </si>
  <si>
    <t>Drachkov</t>
  </si>
  <si>
    <t>Chrašťovice</t>
  </si>
  <si>
    <t>Jinín</t>
  </si>
  <si>
    <t>3111_002_02</t>
  </si>
  <si>
    <t>Staré Sedlo</t>
  </si>
  <si>
    <t>Třebíčko</t>
  </si>
  <si>
    <t>3113_015_12</t>
  </si>
  <si>
    <t>3114 TŘEBOŇ</t>
  </si>
  <si>
    <t>3114_015_01</t>
  </si>
  <si>
    <t>Žofina Huť</t>
  </si>
  <si>
    <t>Nová Ves nad Lužnicí</t>
  </si>
  <si>
    <t>3114_015_00</t>
  </si>
  <si>
    <t>3115 TÝN NAD VLTAVOU</t>
  </si>
  <si>
    <t>3115_004_04</t>
  </si>
  <si>
    <t>Pelejovice</t>
  </si>
  <si>
    <t xml:space="preserve">Dolní Bukovsko   </t>
  </si>
  <si>
    <t>3115_004_00</t>
  </si>
  <si>
    <t>3115_004_06</t>
  </si>
  <si>
    <t>3116 VIMPERK</t>
  </si>
  <si>
    <t>3117_010_01</t>
  </si>
  <si>
    <t>3117 VODŇANY</t>
  </si>
  <si>
    <t>Černěves</t>
  </si>
  <si>
    <t>Libějovice</t>
  </si>
  <si>
    <t>Čakov</t>
  </si>
  <si>
    <t>Čakovec</t>
  </si>
  <si>
    <t>3102_041_00</t>
  </si>
  <si>
    <t>3106 KAPLICE</t>
  </si>
  <si>
    <t>Číslo obce</t>
  </si>
  <si>
    <t>Název obce</t>
  </si>
  <si>
    <t>Místní část</t>
  </si>
  <si>
    <t>Předmět změny</t>
  </si>
  <si>
    <t>Způsob řešení</t>
  </si>
  <si>
    <t>PRVKÚC</t>
  </si>
  <si>
    <t>Navrhovaná změna</t>
  </si>
  <si>
    <t>vodovod</t>
  </si>
  <si>
    <t>Košice</t>
  </si>
  <si>
    <t>Mladá Vožice</t>
  </si>
  <si>
    <t>Stádlec</t>
  </si>
  <si>
    <t>3112_007_00</t>
  </si>
  <si>
    <t>3112_034_12</t>
  </si>
  <si>
    <t>3112_057_00</t>
  </si>
  <si>
    <t>3104_018_00</t>
  </si>
  <si>
    <t>3104_014_00</t>
  </si>
  <si>
    <t>Hříšice</t>
  </si>
  <si>
    <t>Volfířov</t>
  </si>
  <si>
    <t>3104_022_00</t>
  </si>
  <si>
    <t>3104_022_07</t>
  </si>
  <si>
    <t>Velká Lhota</t>
  </si>
  <si>
    <t>Měrný investiční náklad na 1 obyvatele pro navrhovanou změnu (tis. Kč/1 TBO)</t>
  </si>
  <si>
    <t>3101 BLATNÁ</t>
  </si>
  <si>
    <t>3102 ČESKÉ BUDĚJOVICE</t>
  </si>
  <si>
    <t>3102_010_01</t>
  </si>
  <si>
    <t>České Budějovice 2</t>
  </si>
  <si>
    <t>3102_010_02</t>
  </si>
  <si>
    <t>České Budějovice 3</t>
  </si>
  <si>
    <t>3102_010_03</t>
  </si>
  <si>
    <t>České Budějovice 4</t>
  </si>
  <si>
    <t>3102_010_04</t>
  </si>
  <si>
    <t>České Budějovice 5</t>
  </si>
  <si>
    <t>3102_010_05</t>
  </si>
  <si>
    <t>České Budějovice 6</t>
  </si>
  <si>
    <t>3102_010_06</t>
  </si>
  <si>
    <t>České Budějovice 7</t>
  </si>
  <si>
    <t>Vráž</t>
  </si>
  <si>
    <t>3108_045_02</t>
  </si>
  <si>
    <t>Stará Vráž</t>
  </si>
  <si>
    <t>3113_013_00</t>
  </si>
  <si>
    <t>3113_013_01</t>
  </si>
  <si>
    <t>3113_013_02</t>
  </si>
  <si>
    <t>3113_013_03</t>
  </si>
  <si>
    <t>3113_013_04</t>
  </si>
  <si>
    <t>3113_013_05</t>
  </si>
  <si>
    <t>3113_015_02</t>
  </si>
  <si>
    <t>3113_015_06</t>
  </si>
  <si>
    <t>3113_015_08</t>
  </si>
  <si>
    <t>3113_015_10</t>
  </si>
  <si>
    <t>3113_015_11</t>
  </si>
  <si>
    <t>3112_064_00</t>
  </si>
  <si>
    <t>3107 MILEVSKO</t>
  </si>
  <si>
    <t>3107_001_00</t>
  </si>
  <si>
    <t>Bernartice</t>
  </si>
  <si>
    <t>3105_018_00</t>
  </si>
  <si>
    <t>3107_009_00</t>
  </si>
  <si>
    <t>3108_006_00</t>
  </si>
  <si>
    <t>3108_006_01</t>
  </si>
  <si>
    <t>3108_006_02</t>
  </si>
  <si>
    <t>3108_006_03</t>
  </si>
  <si>
    <t>3108_029_00</t>
  </si>
  <si>
    <t>3108_032_00</t>
  </si>
  <si>
    <t>3108_032_05</t>
  </si>
  <si>
    <t>Nová Ves</t>
  </si>
  <si>
    <t>Ševětín</t>
  </si>
  <si>
    <t>3102_065_00</t>
  </si>
  <si>
    <t>Počet trvale bydlících obyvatel                                                  (minulost, výhled)</t>
  </si>
  <si>
    <t>kanalizace</t>
  </si>
  <si>
    <t>Homole</t>
  </si>
  <si>
    <t>Dolní Třebonín</t>
  </si>
  <si>
    <t>Stávající</t>
  </si>
  <si>
    <t>Změna</t>
  </si>
  <si>
    <t>Obecné</t>
  </si>
  <si>
    <t>Úprava</t>
  </si>
  <si>
    <t>3111 STRAKONICE</t>
  </si>
  <si>
    <t>3111_002_00</t>
  </si>
  <si>
    <t>3111_002_01</t>
  </si>
  <si>
    <t>3111_002_04</t>
  </si>
  <si>
    <t>3111_006_00</t>
  </si>
  <si>
    <t>3111_014_00</t>
  </si>
  <si>
    <t>3111_015_00</t>
  </si>
  <si>
    <t>Litochovice</t>
  </si>
  <si>
    <t>Makarov</t>
  </si>
  <si>
    <t>Pracejovice</t>
  </si>
  <si>
    <t>Kovářov u Frymburka</t>
  </si>
  <si>
    <t>Milná</t>
  </si>
  <si>
    <t>Srnín</t>
  </si>
  <si>
    <t>3103_005_00</t>
  </si>
  <si>
    <t>Radonice</t>
  </si>
  <si>
    <t>3108 PÍSEK</t>
  </si>
  <si>
    <t>3108_005_00</t>
  </si>
  <si>
    <t>3108_005_04</t>
  </si>
  <si>
    <t>3108_005_05</t>
  </si>
  <si>
    <t>3108_005_06</t>
  </si>
  <si>
    <t>Obnova</t>
  </si>
  <si>
    <t>Horní Skrýchov</t>
  </si>
  <si>
    <t>3105_036_00</t>
  </si>
  <si>
    <t>Pleše</t>
  </si>
  <si>
    <t>Sedlečko u Soběslavě</t>
  </si>
  <si>
    <t>Čížová</t>
  </si>
  <si>
    <t>Topělec</t>
  </si>
  <si>
    <t>Zlivice</t>
  </si>
  <si>
    <t>3109 PRACHATICE</t>
  </si>
  <si>
    <t>3110 SOBĚSLAV</t>
  </si>
  <si>
    <t>3110_017_00</t>
  </si>
  <si>
    <t>3102_058_00</t>
  </si>
  <si>
    <t>Římov</t>
  </si>
  <si>
    <t>Dačice</t>
  </si>
  <si>
    <t>Slavonice</t>
  </si>
  <si>
    <t>(lokalita)</t>
  </si>
  <si>
    <t>3102_010_00</t>
  </si>
  <si>
    <t>České Budějovice</t>
  </si>
  <si>
    <t>3102_026_02</t>
  </si>
  <si>
    <t>3102_057_00</t>
  </si>
  <si>
    <t>Rudolfov</t>
  </si>
  <si>
    <t>3103_007_00</t>
  </si>
  <si>
    <t>Frymburk</t>
  </si>
  <si>
    <t>Pořizovací cena (investiční náklad) pro stejnou časovou úroveň roku 2009 podle metodického pokynu MZe čj. 401/2010-15000 (mil. Kč)</t>
  </si>
  <si>
    <t>Český Krumlov</t>
  </si>
  <si>
    <t>Lipí</t>
  </si>
  <si>
    <t>Straňany</t>
  </si>
  <si>
    <t>Doudleby</t>
  </si>
  <si>
    <t>Černý Dub</t>
  </si>
  <si>
    <t>Stará Pohůrka</t>
  </si>
  <si>
    <t>Kladiny</t>
  </si>
  <si>
    <t>Branišovice</t>
  </si>
  <si>
    <t>3102_041_01</t>
  </si>
  <si>
    <t>Kaliště u Lipí</t>
  </si>
  <si>
    <t>3102_058_02</t>
  </si>
  <si>
    <t>Dolní Stropnice</t>
  </si>
  <si>
    <t>3102_060_00</t>
  </si>
  <si>
    <t>Srubec</t>
  </si>
  <si>
    <t>3102_072_00</t>
  </si>
  <si>
    <t>Vrábče</t>
  </si>
  <si>
    <t>3103 ČESKÝ KRUMLOV</t>
  </si>
  <si>
    <t>3102_042_00</t>
  </si>
  <si>
    <t>Lišov</t>
  </si>
  <si>
    <t>3102_072_03</t>
  </si>
  <si>
    <t>Nové</t>
  </si>
  <si>
    <t xml:space="preserve"> </t>
  </si>
  <si>
    <t>Branišov</t>
  </si>
  <si>
    <t>Jiterní Ves</t>
  </si>
  <si>
    <t>Kojákovice</t>
  </si>
  <si>
    <t>Nepomuk</t>
  </si>
  <si>
    <t>Šalmanovice</t>
  </si>
  <si>
    <t>Jílovice</t>
  </si>
  <si>
    <t>Nesměň</t>
  </si>
  <si>
    <t>Ločenice</t>
  </si>
  <si>
    <t>Záluží</t>
  </si>
  <si>
    <t>Mohuřice</t>
  </si>
  <si>
    <t>Lniště</t>
  </si>
  <si>
    <t>Keblany</t>
  </si>
  <si>
    <t>Dobrkovská Lhotka</t>
  </si>
  <si>
    <t xml:space="preserve">Trhové Sviny                       </t>
  </si>
  <si>
    <t>Bukvice</t>
  </si>
  <si>
    <t>Něchov</t>
  </si>
  <si>
    <t>Otěvěk</t>
  </si>
  <si>
    <t>Rankov</t>
  </si>
  <si>
    <t xml:space="preserve">Todně                      </t>
  </si>
  <si>
    <t>3104_007_00</t>
  </si>
  <si>
    <t>3113 TRHOVÉ SVINY</t>
  </si>
  <si>
    <t>3113_005_00</t>
  </si>
  <si>
    <t>3113_005_01</t>
  </si>
  <si>
    <t>3113_005_02</t>
  </si>
  <si>
    <t>3113_005_05</t>
  </si>
  <si>
    <t>3113_005_06</t>
  </si>
  <si>
    <t>3113_007_00</t>
  </si>
  <si>
    <t>3113_007_01</t>
  </si>
  <si>
    <t>3105_010_00</t>
  </si>
  <si>
    <t>3105_033_00</t>
  </si>
  <si>
    <t>3106_001_00</t>
  </si>
  <si>
    <t>3106_005_01</t>
  </si>
  <si>
    <t>Benešov nad Černou</t>
  </si>
  <si>
    <t>Horní Dvořiště</t>
  </si>
  <si>
    <t>Český Heršlák</t>
  </si>
  <si>
    <t>3101_017_00</t>
  </si>
  <si>
    <t>Lom</t>
  </si>
  <si>
    <t>Myštice</t>
  </si>
  <si>
    <t>3101_019_00</t>
  </si>
  <si>
    <t>Aktualizace stávajícího stavu. Ve výhledu doplněna další varianta vedení trasy napojení vodovodu.</t>
  </si>
  <si>
    <t>Platné rozhodnutí o vypouštění. Ve výhledu výstavba ČOV s čerpací stanicí, rekonstrukce stávající kanalizace a rozšíření kanalizace.</t>
  </si>
  <si>
    <t>Aktualizace textu stávajícího stavu vodovodu. Návrh rozšíření vodovodu s napojením osady Míreč (vyhotoven ve dvou variantách).</t>
  </si>
  <si>
    <t>Změna dimenzí v návrhu výstavby ČOV. Ve výhledu obnova a doplnění oddílné kanalizace.</t>
  </si>
  <si>
    <t>Úprava textu stávající kanalizace. Doplněn počet RD v plánované výstavbě pro rozšíření kanalizace.</t>
  </si>
  <si>
    <t>3102_042_12</t>
  </si>
  <si>
    <t>Vlkovice</t>
  </si>
  <si>
    <t>Ve výhledu výstavba druhé komory akumulace nadzemního vodojemu.</t>
  </si>
  <si>
    <t xml:space="preserve">Úprava textu. Ve výhledu doplnění technologie ČOV, také likvidace odpadních vod domovními čistírnami nebo jímkami na vyvážení. </t>
  </si>
  <si>
    <t>Úprava dimenzí v textu stávajícího stavu. Ve výhledu rozšíření (zokruhování) vodovodního řadu v oblasti nové zástavby.</t>
  </si>
  <si>
    <t>Aktualizace stávajícího stavu. Ve výhledu rekonstrukce a rozšíření kanalizace, intenzifikace ČOV.</t>
  </si>
  <si>
    <t>Rozšíření vodohospodářské infrastruktury.</t>
  </si>
  <si>
    <t>Změna textu - místo doplnění technologie ČOV se navrhuje intenzifikace ČOV.</t>
  </si>
  <si>
    <t>Doplnění textu stávajícího stavu - rozšíření vodovodu v lokalitách dle schváleného Územního plánu Římov.</t>
  </si>
  <si>
    <t>Návrh výstavby místní ČOV.</t>
  </si>
  <si>
    <t>Dolní Vesce</t>
  </si>
  <si>
    <t>Horní Vesce</t>
  </si>
  <si>
    <t>Ve výhledu doplněn podrobnější popis plánovaného rozšíření vodovodu.</t>
  </si>
  <si>
    <t>Doplnění textu stávajícího stavu - vyvážení jímek na základě smlouvy s provozovatelem na ČOV Římov.</t>
  </si>
  <si>
    <t>3102_058_03</t>
  </si>
  <si>
    <t>3102_058_04</t>
  </si>
  <si>
    <t>Rozšíření v lokalitách v souladu s Územním plánem Římov</t>
  </si>
  <si>
    <t>Ve výhledu rozšíření vodovodů v závislosti na plánované výstavbě, zkapacitnění hlavních zásobních řadů a přeložení výtlaku vodojemu.</t>
  </si>
  <si>
    <t>Ve výhledu rozšíření kanalizací v závislosti na plánované výstavbě, zkapacitnění vybraných úseků.</t>
  </si>
  <si>
    <t>Ve výhledu rozšíření vodovodů v závislosti na plánované výstavbě</t>
  </si>
  <si>
    <t>Ve výhledu rozšíření kanalizací v závislosti na plánované výstavbě.</t>
  </si>
  <si>
    <t>3102_064_00</t>
  </si>
  <si>
    <t>Střížov</t>
  </si>
  <si>
    <t>Aktualizace textu stávajícího stavu - obec vybudovala a uvedla do provozu v roce 2006 obecní vodovod.</t>
  </si>
  <si>
    <t>Návrh výstavby splaškové kanalizace aktualizován dalšími údaji, příprava projektu vybudování ČOV.</t>
  </si>
  <si>
    <t>Ve výhledu rekonstrukce vodojemu, možnost napojení na vodovodní řad Římov.</t>
  </si>
  <si>
    <t>Úprava seznamu producentů OV. V roce 2008-9 revitalizována ČOV. Ve výhledu průběžná obnova kanalizací a rekonstrukce přivaděče na ČOV.</t>
  </si>
  <si>
    <t>Úprava textu výhledového stavu - budou obnovovány původní vodovodní řady.</t>
  </si>
  <si>
    <t>Aktualizace stávajícího stavu kanalizace - v místní části je jednotná kanalizace zaústěná do nové ČOV. Ve výhledu výstavba tlakové kanalizace, obnova a rozšíření sítě.</t>
  </si>
  <si>
    <t>Slavče u Vrábče</t>
  </si>
  <si>
    <t>Průběžná obnova vodovodních řadů.</t>
  </si>
  <si>
    <t>Průběžná obnova kanalizačních stok.</t>
  </si>
  <si>
    <t>V rámci realizace ČOV bude provedena výstavba vodovodu o délce 130m. Průběžná obnova vodovodů.</t>
  </si>
  <si>
    <t>Aktualizace textu stávajícího stavu - vybudována nová jednotná kanalizace. Návrh výstavby nové ČOV včetně kanalizace.</t>
  </si>
  <si>
    <t>Do textu doplněna délka stávající kanalizace. Ve výhledu výstavba ČOV nebo vybudování napojení. Průběžná obnova kanalizace.</t>
  </si>
  <si>
    <t>Ve výhledu prodloužení a zokruhování vodovodu.</t>
  </si>
  <si>
    <t>Ve výhledu prodloužení splaškové a dešťové kanalizace. Připravený projekt kanalizace a ČOV pro územní řízení.</t>
  </si>
  <si>
    <t>Holubovská Bašta</t>
  </si>
  <si>
    <t>3102_008_02</t>
  </si>
  <si>
    <t>Ve výhledu v případě nedostatku pitné vody, nebo masivního nárůstu obyvatel je uvažováno o vybudování nového vodovodního rádu s napojením na JVS.</t>
  </si>
  <si>
    <t>Průběžná rekonstrukce vodovodu. V rámci výstavby ČOV navržena vodovodní přípojka o délce 114m.</t>
  </si>
  <si>
    <t>Ve výhledu se navrhuje doplnění stávající jednotné kanalizace a výstavba splaškové kanalizace, čerpací stanice a ČOV.</t>
  </si>
  <si>
    <t>Ve výhledu v rámci výstavby ČOV je navrženo prodloužení vodovodního řadu a přípojka.</t>
  </si>
  <si>
    <t>Ve výhledu je navrženo vybudování nové splaškové kanalizace a ČOV.</t>
  </si>
  <si>
    <t>Aktualizace seznamu akcí, v jejichž rámci bude rozšířena či upravena kanalizační síť. Prodloužení odlehčovací stoky u f. BOSCH.</t>
  </si>
  <si>
    <t>Aktualizace seznamu akcí, v jejichž rámci bude rozšířena či upravena kanalizační síť.</t>
  </si>
  <si>
    <t>Aktualizace seznamu akcí, v jejichž rámci bude rozšířena či upravena vodovodní síť.</t>
  </si>
  <si>
    <t>Aktualizace textu stávajícho stavu. Ve výhledu je navržena dostavba kanalizace, intenzifikace ČOV a výstavba ČOV.</t>
  </si>
  <si>
    <t>Aktualizace textu stávajícího stavu - nový vodojem Třebotovice. Ve výhledu je navržena dostavba vodovodu (aktualizované technické řešení).</t>
  </si>
  <si>
    <t>Aktualizace textu stávajícího stavu - nová splašková kanalizace a ČOV. Ve výhledu ponechána v plánu dostavba splaškové kanalizace.</t>
  </si>
  <si>
    <t>Aktualizace textu stávajícího stavu - nová splašková kanalizace a napojení na ČOV Doudleby. Ve výhledu ponechána v plánu dostavba splaškové kanalizace.</t>
  </si>
  <si>
    <t>Nové Homole</t>
  </si>
  <si>
    <t>Návrh přestavby a intenzifikace ČOV.</t>
  </si>
  <si>
    <t>Návrh přestavby stávající ČOV na čerpací stanici a napojení na ČOV Homole. Průběžná obnova a rozšíření kanalizace.</t>
  </si>
  <si>
    <t>Návrh napojení na ČOV Homole.</t>
  </si>
  <si>
    <t>3102_039_00</t>
  </si>
  <si>
    <t>3102_039_01</t>
  </si>
  <si>
    <t>Libín</t>
  </si>
  <si>
    <t>Slavošovice</t>
  </si>
  <si>
    <t>3102_039_02</t>
  </si>
  <si>
    <t>Spolí</t>
  </si>
  <si>
    <t>Aktualizace textu stávajícího stavu - obnova infrastruktury vč. objektů. Ve výhledu obnova a rozšíření vodovodu.</t>
  </si>
  <si>
    <t>Aktualizace textu stávajícího stavu. Návrh výstavby splaškové kanalizace a ČOV.</t>
  </si>
  <si>
    <t>Aktualizace textu stávajícího stavu. Návrh výstavby nové kanalizace.</t>
  </si>
  <si>
    <t>Aktualizace textu stávajícího stavu. Ve výhledu rekonstrukce stávající kanalizace.</t>
  </si>
  <si>
    <t>3117_004_00</t>
  </si>
  <si>
    <t>Číčenice</t>
  </si>
  <si>
    <t>3117_004_01</t>
  </si>
  <si>
    <t>Strpí</t>
  </si>
  <si>
    <t>3117_004_02</t>
  </si>
  <si>
    <t>Újezdec</t>
  </si>
  <si>
    <t>Úprava textu výhledového stavu.</t>
  </si>
  <si>
    <t>Ve výhledu obnova a rozšíření vodovodní sítě.</t>
  </si>
  <si>
    <t>Aktualizace textu současného stavu a jeho technického řešení. Úprava textu výhledového stavu.</t>
  </si>
  <si>
    <t>Aktualizace textu současného stavu - nová kanalizace a ČOV. Ve výhledu obnova a rozšíření kanalizace.</t>
  </si>
  <si>
    <t>3117_016_00</t>
  </si>
  <si>
    <t>Truskovice</t>
  </si>
  <si>
    <t>3117_010_00</t>
  </si>
  <si>
    <t>Aktualizace textu stávajícího stavu - nové vodovodní řady. Ve výhledu obnova a rozšiřování vodovodů.</t>
  </si>
  <si>
    <t>Aktualizace textu stávajícího stavu - u nové zástavby domovní ČOV. Ve výhledu výstavba ČOV a rozšíření kanalizace.</t>
  </si>
  <si>
    <t>Aktualizace textu stávajícího stavu - nový přivaděč na ČOV. Ve výhledu výstavba ČOV a rozšíření kanalizace.</t>
  </si>
  <si>
    <t>Aktualizace textu stávajícího stavu - nový vodovod. Ve výhledu obnova a rozšiřování vodovodů.</t>
  </si>
  <si>
    <t>3117_010_02</t>
  </si>
  <si>
    <t>Nestánice</t>
  </si>
  <si>
    <t>Aktualizace textu stávajícího stavu - nový vodovod. Ve výhledu rozšiřování vodovodů.</t>
  </si>
  <si>
    <t>Úprava textu stávajícího stavu. Ve výhledu výstavba ČOV a rozšíření kanalizace.</t>
  </si>
  <si>
    <t>Ve výhledu se plánuje nový vrt, výstavba vodovodu a vodojemu.</t>
  </si>
  <si>
    <t>Ve výhledu se plánuje výstavba kanalizace a ČOV.</t>
  </si>
  <si>
    <t>3116_005_00</t>
  </si>
  <si>
    <t>Čkyně</t>
  </si>
  <si>
    <t>3116_005_01</t>
  </si>
  <si>
    <t>Dolany</t>
  </si>
  <si>
    <t>3116_010_00</t>
  </si>
  <si>
    <t>3116_010_02</t>
  </si>
  <si>
    <t>Nicov</t>
  </si>
  <si>
    <t>Řetenice</t>
  </si>
  <si>
    <t>Ve výhledu výstavba kanalizace a ČOV.</t>
  </si>
  <si>
    <t>Ve výhledu výstavba kanalizace a napojení na ČOV Čkyně.</t>
  </si>
  <si>
    <t>Úprava textu současného stavu. Ve výhledu návrh výstavby vodojemu a přivaděče, rekonstrukce stávajícího vodojemu.</t>
  </si>
  <si>
    <t>Doplnění provozovatele kanalizace a ČOV.</t>
  </si>
  <si>
    <t>3115_004_01</t>
  </si>
  <si>
    <t>Bzí</t>
  </si>
  <si>
    <t>Horní Bukovsko</t>
  </si>
  <si>
    <t>3115_004_02</t>
  </si>
  <si>
    <t>3115_004_03</t>
  </si>
  <si>
    <t>Hvozdno</t>
  </si>
  <si>
    <t>3115_004_05</t>
  </si>
  <si>
    <t>Popovice</t>
  </si>
  <si>
    <t>3115_004_07</t>
  </si>
  <si>
    <t>Aktualizace stávajícího stavu - místní část je napojena na skupinový vodovod Dolní Bukovsko.</t>
  </si>
  <si>
    <t>Aktualizace stávajícího stavu - místní část je napojena na skupinový vodovod Dolní Bukovsko, vlastníkem vodovodu je Městys Dolní Bukovsko. Ve výhledu se plánuje údržba a opravy.</t>
  </si>
  <si>
    <t>Odpadní vody jsou z jímek vyváženy na ČOV Dolní Bukovsko. Ve výhledu rekonstrukce a výstavba jímek a kanalizační sítě, možná výstavba ČOV.</t>
  </si>
  <si>
    <t>V místní části je částečná jednotná kanalizace, ostatní odpadní vody jsou z jímek vyváženy na ČOV Dolní Bukovsko. Ve výhledu rekonstrukce a výstavba jímek a kanalizační sítě, možná výstavba ČOV.</t>
  </si>
  <si>
    <t>V místní části je částečná jednotná kanalizace, soukromé ČOV, ostatní odpadní vody jsou z jímek vyváženy na ČOV Dolní Bukovsko. Ve výhledu výstavba 1km kanalizace a ČOV.</t>
  </si>
  <si>
    <t>3115_005_00</t>
  </si>
  <si>
    <t>Dražíč</t>
  </si>
  <si>
    <t>3115_010_00</t>
  </si>
  <si>
    <t>Modrá Hůrka</t>
  </si>
  <si>
    <t>Ve výhledu obnova vodohospodářské infrastruktury.</t>
  </si>
  <si>
    <t>Aktualizace textu stávajícího stavu. Ve výhledu rekonstrukce kanalizace a ČOV, výstavba retenční dočišťovací nádrže a rozšíření kapacity připojených ekvivalentních obyvatel.</t>
  </si>
  <si>
    <t>Aktualizace textu stávajícího stavu. Ve výhledu obnova vodovodu a rekonstrukce vodojemu.</t>
  </si>
  <si>
    <t>Aktualizace stávajícího stavu - nová ČOV. Ve výhledu dostavba kanalizace a rekonstrukce.</t>
  </si>
  <si>
    <t>Aktualizace stávajícího stavu - oprava vodojemu. Ve výhledu dostavba vodovodu a rekonstrukce.</t>
  </si>
  <si>
    <t>3114_003_00</t>
  </si>
  <si>
    <t>Domanín</t>
  </si>
  <si>
    <t>Aktualizace stávajícího stavu - nová splašková kanalizace s napojením na ČOV Třeboň. Ve výhledu rozšíření kanalizace.</t>
  </si>
  <si>
    <t>Aktualizace stávajícího stavu - rekonstrukce a rozšíření vodovodu. Ve výhledu další rozšiřování vodovodu.</t>
  </si>
  <si>
    <t>3114_004_00</t>
  </si>
  <si>
    <t>Dunajovice</t>
  </si>
  <si>
    <t>Aktualizace stávajícího stavu - nová splašková kanalizace a ČOV. Ve výhledu rozšíření kanalizace.</t>
  </si>
  <si>
    <t>Aktualizace stávajícího stavu - rozšíření vodovodu, doplnění údajů.</t>
  </si>
  <si>
    <t>3114_005_00</t>
  </si>
  <si>
    <t>Dvory nad Lužnicí</t>
  </si>
  <si>
    <t>Aktualizace textu stávajícího stavu - doplnění údajů (délka vodovodu, počet zásobených obyvatel apod.), schválen návrh na dotace na pořízení vrtů.</t>
  </si>
  <si>
    <t>Aktualizace stávajícího stavu - nová ČOV a část kanalizace. Ve výhledu rozšíření kanalizace.</t>
  </si>
  <si>
    <t>3114_010_00</t>
  </si>
  <si>
    <t>Chlum u Třeboně</t>
  </si>
  <si>
    <t>3114_010_01</t>
  </si>
  <si>
    <t>3114_010_02</t>
  </si>
  <si>
    <t>Lutová</t>
  </si>
  <si>
    <t>Mirochov</t>
  </si>
  <si>
    <t>3114_010_03</t>
  </si>
  <si>
    <t>Žíteč</t>
  </si>
  <si>
    <t>Ve výhledu rekonstrukce a rozšíření vodovodu.</t>
  </si>
  <si>
    <t>Ve výhledu rozšíření vodovodu.</t>
  </si>
  <si>
    <t>Aktualizace stávajícího stavu - nová kanalizace a kořenová ČOV. Ve výhledu rozšíření kanalizace.</t>
  </si>
  <si>
    <t>Aktualizace stávajícího stavu - nová kanalizace a ČOV. Ve výhledu rozšíření kanalizace.</t>
  </si>
  <si>
    <t>Aktualizace stávajícího stavu - nová kanalizace napojená na ČOV Lutová. Ve výhledu rozšíření kanalizace.</t>
  </si>
  <si>
    <t>Změna provozovatele - Městys Chlum u Třeboně. Ve výhledu rekonstrukce a rozšíření vodovodu.</t>
  </si>
  <si>
    <t>Změna provozovatele - Městys Chlum u Třeboně. Ve výhledu rozšíření vodovodu.</t>
  </si>
  <si>
    <t>Aktualizace textu stávajícího stavu - změna provozovatele. Ve výhledu rekonstrukce a rozšíření kanalizace a rekonstrukce ČOV.</t>
  </si>
  <si>
    <t>Aktualizace stávajícího stavu - nový vrt. Ve výhledu rozšíření vodovodu.</t>
  </si>
  <si>
    <t>Aktualizace stávajícího stavu - změna seznamu producentů odpadních vod. Ve výhledu intenzifikace ČOV, rozšíření kanalizace.</t>
  </si>
  <si>
    <t>Místní část připravuje nový vrt a jeho úpravu, dále se navrhuje rozšíření vodovodu.</t>
  </si>
  <si>
    <t>3113_015_03</t>
  </si>
  <si>
    <t>Čeřejov</t>
  </si>
  <si>
    <t>3113_015_04</t>
  </si>
  <si>
    <t>Hrádek</t>
  </si>
  <si>
    <t>3113_015_05</t>
  </si>
  <si>
    <t>Jedovary</t>
  </si>
  <si>
    <t>3113_015_07</t>
  </si>
  <si>
    <t>Nežetice</t>
  </si>
  <si>
    <t>3113_015_09</t>
  </si>
  <si>
    <t>Pěčín</t>
  </si>
  <si>
    <t>3113_015_13</t>
  </si>
  <si>
    <t>Veselka</t>
  </si>
  <si>
    <t>Aktualizace textu stávajícího stavu - jímky jsou vyváženy na ČOV Trhové Sviny.</t>
  </si>
  <si>
    <t>Aktualizace textu stávajícího stavu - jímky jsou vyváženy na ČOV Trhové Sviny. Ve výhledu zůstane současný způsob zachován.</t>
  </si>
  <si>
    <t>Ve výhledu napojení na skupinový vodovod Trhové Sviny.</t>
  </si>
  <si>
    <t>Ve výhledu průběžná obnova vodovodu a rozšíření v souladu s rozvojem obce.</t>
  </si>
  <si>
    <t>Ve výhledu varianta napojení nebo výstavby ČOV, dále rekonstrukce a rozšíření kanalizace.</t>
  </si>
  <si>
    <t>Ve výhledu výstavba vodovodu a napojení na skupinový vodovod.</t>
  </si>
  <si>
    <t>3113_005_03</t>
  </si>
  <si>
    <t>Kramolín</t>
  </si>
  <si>
    <t>3113_005_04</t>
  </si>
  <si>
    <t>Lipnice</t>
  </si>
  <si>
    <t>Ve výhledu se navrhuje postupná obnova vodovodní sítě včetně objektů a vybudování nového vodního zdroje.</t>
  </si>
  <si>
    <t>Ve výhledu výstavba vodovodu s vlastním vodním zdrojem nebo napojení na vodovodní síť obce Jílovice.</t>
  </si>
  <si>
    <t>Ve výhledu vybudování nového zdroje vody a napojení dalších částí na vodovodní síť.</t>
  </si>
  <si>
    <t>Ve výhledu výstavba nové kanalizace a napojení na ČOV Lipnice.</t>
  </si>
  <si>
    <t>Ve výhledu výstavba vodovodu a vodního zdroje, příp. napojení na vodovodní síť některé sousední obce.</t>
  </si>
  <si>
    <t>Ve výhledu obnova a rozšíření kanalizační sítě.</t>
  </si>
  <si>
    <t>Ve výhledu obnova a rozšíření kanalizační sítě, příp. intenzifikace ČOV.</t>
  </si>
  <si>
    <t>Ve výhledu obnova a rozšíření vodovodní sítě</t>
  </si>
  <si>
    <t>3113_008_01</t>
  </si>
  <si>
    <t>Lhota</t>
  </si>
  <si>
    <t>Mladošovice</t>
  </si>
  <si>
    <t>Ve výhledu výstavba vodovodu, vodního zdroje, čerpací stanice a vodojemu.</t>
  </si>
  <si>
    <t>Ve výhledu obnova a rozšíření vodovodní sítě včetně objektů.</t>
  </si>
  <si>
    <t>3113_015_00</t>
  </si>
  <si>
    <t>3113_015_01</t>
  </si>
  <si>
    <t>Březí u Trhových Svin</t>
  </si>
  <si>
    <t>jiné</t>
  </si>
  <si>
    <t>Změna počtu trvale hlášených obyvatel.</t>
  </si>
  <si>
    <t>Ve výhledu rekonstrukce a rozšíření kanalizace, výstavba ČOV.</t>
  </si>
  <si>
    <t>Aktualizace stávajícího stavu. Ve výhledu rekonstrukce a rozšíření vodovodu.</t>
  </si>
  <si>
    <t>3112_004_00</t>
  </si>
  <si>
    <t>3112_004_01</t>
  </si>
  <si>
    <t>3112_004_02</t>
  </si>
  <si>
    <t>Běleč</t>
  </si>
  <si>
    <t>Bzová</t>
  </si>
  <si>
    <t>Elbančice</t>
  </si>
  <si>
    <t>Změna počtu obyvatel. Obec má schválený ÚP.</t>
  </si>
  <si>
    <t>Obec připravuje projekt propojení vodovodů Běleč a Bzová.</t>
  </si>
  <si>
    <t>Aktualizace stávajícího stavu - nová kanalizace. Ve výhledu čištění v domovních ČOV, rekonstrukce a intenzifikace septiků.</t>
  </si>
  <si>
    <t>Obec připravuje projekt propojení vodovodů Běleč a Bzová. Dále rozšíření vodovodu.</t>
  </si>
  <si>
    <t>Aktualizace stávajícího stavu. Ve výhledu dostavba kanalizace.</t>
  </si>
  <si>
    <t>Ve výhledu rozšíření kanalizace.</t>
  </si>
  <si>
    <t>3112_012_00</t>
  </si>
  <si>
    <t>3112_012_01</t>
  </si>
  <si>
    <t>3112_012_02</t>
  </si>
  <si>
    <t>Dolní Hrachovice</t>
  </si>
  <si>
    <t>Horní Hrachovice</t>
  </si>
  <si>
    <t>Mostek</t>
  </si>
  <si>
    <t>Ve výhledu výstavba lokální ČOV.</t>
  </si>
  <si>
    <t>Aktualizace stávajícího stavu - rekonstrukce úpravny vody. Ve výhledu oprava prameniště, vodojemu, vodovodu. Také rozšíření vodovodu.</t>
  </si>
  <si>
    <t>Ve výhledu vybudování nového vodního zdroje, rekonstrukce čerpací stanice, vodojemu a vodovodu. Také rozšíření vodovodu.</t>
  </si>
  <si>
    <t>3112_015_00</t>
  </si>
  <si>
    <t>Drhovice</t>
  </si>
  <si>
    <t>Aktualizace textu stávajícího stavu - změna charakteru stavby. Ve výhledu rekonstrukce a rozšíření vodovodu.</t>
  </si>
  <si>
    <t>Místní část má povolení k vypouštění odpadních vod, provozovatelem je obec Košice. Ve výhledu výstavba ČOV.</t>
  </si>
  <si>
    <t>Úprava textu stávajícího stavu. Ve výhledu výstavba vodovodu.</t>
  </si>
  <si>
    <t>3112_027_00</t>
  </si>
  <si>
    <t>Košín</t>
  </si>
  <si>
    <t>Ve výhledu vybudování oddílné kanalizace, včetně vyřešení čištění odpadních vod obce výstavbou ČOV.</t>
  </si>
  <si>
    <t>3112_030_00</t>
  </si>
  <si>
    <t>Libějice</t>
  </si>
  <si>
    <t>Aktualizace stávajícího stavu - zahájení provozu nové ČOV. Ve výhledu rozšíření kanalizace.</t>
  </si>
  <si>
    <t>3112_034_01</t>
  </si>
  <si>
    <t>Bendovo Záhoří</t>
  </si>
  <si>
    <t>3112_034_02</t>
  </si>
  <si>
    <t>3112_034_03</t>
  </si>
  <si>
    <t>Blanice</t>
  </si>
  <si>
    <t>Dolní Kouty</t>
  </si>
  <si>
    <t>Horní Kouty</t>
  </si>
  <si>
    <t>3112_034_04</t>
  </si>
  <si>
    <t>3112_034_05</t>
  </si>
  <si>
    <t>Chocov</t>
  </si>
  <si>
    <t>Janov</t>
  </si>
  <si>
    <t>Krchova Lomná</t>
  </si>
  <si>
    <t>3112_034_06</t>
  </si>
  <si>
    <t>3112_034_07</t>
  </si>
  <si>
    <t>3112_034_08</t>
  </si>
  <si>
    <t>Noskov</t>
  </si>
  <si>
    <t>Pavlov</t>
  </si>
  <si>
    <t>3112_034_09</t>
  </si>
  <si>
    <t>3112_034_10</t>
  </si>
  <si>
    <t>Radvanov</t>
  </si>
  <si>
    <t>Staniměřice</t>
  </si>
  <si>
    <t>3112_034_11</t>
  </si>
  <si>
    <t>Ústějov</t>
  </si>
  <si>
    <t>3112_034_13</t>
  </si>
  <si>
    <t>Způsob čištění doplněn o individuální čištění, dle majitelů nemovitostí.</t>
  </si>
  <si>
    <t>Aktualizace stávajícího stavu - nový vodojem. Záměrem je posílení vodních zdrojů (vybudování studny) a obnova vodohospodářské infrastruktury.</t>
  </si>
  <si>
    <t>Aktualizace stávajícího stavu - intenzifikace ČOV. Záměrem je rekonstrukce kanalizace.</t>
  </si>
  <si>
    <t>3112_038_00</t>
  </si>
  <si>
    <t>Nemyšl</t>
  </si>
  <si>
    <t>3112_042_05</t>
  </si>
  <si>
    <t>Podboří</t>
  </si>
  <si>
    <t>Ve výhledu se plánuje výstavba vodovodu.</t>
  </si>
  <si>
    <t>Aktualizace textu stávajícího stavu. Ve výhledu se plánuje výstavba kanalizace a ČOV.</t>
  </si>
  <si>
    <t>3112_049_00</t>
  </si>
  <si>
    <t>Radětice</t>
  </si>
  <si>
    <t>Aktualizace stávajícího stavu. Ve výhledu dostavba kanalizace a výstavba ČOV.</t>
  </si>
  <si>
    <t>Aktualizace stávajícího stavu - nová ČOV.</t>
  </si>
  <si>
    <t>3112_057_01</t>
  </si>
  <si>
    <t>Kášovice</t>
  </si>
  <si>
    <t>Změna počtu obyvatel.</t>
  </si>
  <si>
    <t>3112_064_01</t>
  </si>
  <si>
    <t>Hájky</t>
  </si>
  <si>
    <t>Křída</t>
  </si>
  <si>
    <t>3112_064_02</t>
  </si>
  <si>
    <t>3112_064_03</t>
  </si>
  <si>
    <t>Slavňovice</t>
  </si>
  <si>
    <t>3112_064_04</t>
  </si>
  <si>
    <t>Ve výhledu změněn cílový rok z 2015 na 2025.</t>
  </si>
  <si>
    <t>Aktualizace textu stávajícího stavu. Ve výhledu výstavba vodovodu a napojení.</t>
  </si>
  <si>
    <t>Obec plánuje propojení kanalizace z důvodu eliminace vedení kanalizace přes soukromé pozemky. Ve výhledu změněn cílový rok z 2015 na 2025.</t>
  </si>
  <si>
    <t>Ve výhledu se plánuje rozšíření vodovodu.</t>
  </si>
  <si>
    <t>Ve výhledu se plánuje rozšíření kanalizace.</t>
  </si>
  <si>
    <t>3112_070_00</t>
  </si>
  <si>
    <t>Turovec</t>
  </si>
  <si>
    <t>Obec má Rozhodnutí o nakládání s vodami platné do 30.5.2021.</t>
  </si>
  <si>
    <t>Aktualizace textu stávajícího stavu. Ve výhledu se plánuje rozšíření vodovodu a nový zdroj pitné vody.</t>
  </si>
  <si>
    <t>Plánována je regenerace prameniště, posílení vodních zdrojů a jejich technologická úprava. Ve výhledu lze uvažovat o napojení na Vodárenskou soustavu Jižní Čechy.</t>
  </si>
  <si>
    <t>Ve výhledu je zrušena možnost vyvážet jímky na ČOV Čejetice.</t>
  </si>
  <si>
    <t>Ve výhledu je zrušen plán výstavby ČOV.</t>
  </si>
  <si>
    <t>Aktualizace stávajícího stavu - napojení vodovodu.</t>
  </si>
  <si>
    <t>Ve výhledu je zrušen plán výstavby kanalizace a ČOV.</t>
  </si>
  <si>
    <t>Ve výhledu rekonstrukce a rozšíření kanalizace, rekonstrukce šachty.</t>
  </si>
  <si>
    <t>Ve výhledu prodloužení vodovodu.</t>
  </si>
  <si>
    <t>Ve výhledu prodloužení kanalizace, výstavba domovních ČOV.</t>
  </si>
  <si>
    <t>3111_007_00</t>
  </si>
  <si>
    <t>Drážov</t>
  </si>
  <si>
    <t>Stylistická úprava textu výhledového stavu.</t>
  </si>
  <si>
    <t>Doplnění lokalizace plánované ČOV.</t>
  </si>
  <si>
    <t>3111_007_01</t>
  </si>
  <si>
    <t>Dobrš</t>
  </si>
  <si>
    <t>3111_07_002</t>
  </si>
  <si>
    <t>3111_07_003</t>
  </si>
  <si>
    <t>Zálesí</t>
  </si>
  <si>
    <t>Kváskovice</t>
  </si>
  <si>
    <t>Obec nemá veřejný vodovod, při dlouhotrvajícím suchu se projevují problémy s nedostatkem pitné vody.</t>
  </si>
  <si>
    <t>Ve výhledu navržena výstavba ČOV, rozšíření kanalizace.</t>
  </si>
  <si>
    <t>Vodovod v zemědělském areálu je zastaralý. Dále je připraveno napojení na vodojem v Drážově.</t>
  </si>
  <si>
    <t>V roce 2007 proběhla III. etapa obnovy a rozšíření lokální části kanalizace. Ve výhledu je změna délky plánované kanalizace a doplněna lokalizace plánované ČOV.</t>
  </si>
  <si>
    <t>Ve výhledu se plánuje výstavba vodovodu a vodojemu.</t>
  </si>
  <si>
    <t>3111_019_00</t>
  </si>
  <si>
    <t>Kraselov</t>
  </si>
  <si>
    <t>Záměrem je výstavba vodovodu a napojení na Vodárenskou soustavu Jižní Čechy.</t>
  </si>
  <si>
    <t>Záměrem je výstavba kanalizace a ČOV.</t>
  </si>
  <si>
    <t>3111_025_00</t>
  </si>
  <si>
    <t>Ve výhledu výstavba vodovodu a vodojemu pro napojení další lokality.</t>
  </si>
  <si>
    <t>3111_034_00</t>
  </si>
  <si>
    <t>Němětice</t>
  </si>
  <si>
    <t>Změna - kanalizaci vlastní a provozuje obec. Ve výhledu výstavba ČOV a její napojení na kanalizaci.</t>
  </si>
  <si>
    <t>Změna vlastníka a provozovatele. Plánovanou akcí je vodovod Nihošovice - III. etapa Němětice.</t>
  </si>
  <si>
    <t>3111_035_00</t>
  </si>
  <si>
    <t>Nihošovice</t>
  </si>
  <si>
    <t>3111_035_01</t>
  </si>
  <si>
    <t>Jetišov</t>
  </si>
  <si>
    <t>Plánována výstavba kanalizace.</t>
  </si>
  <si>
    <t>Změna - kanalizaci vlastní a provozuje obec.</t>
  </si>
  <si>
    <t>3111_041_00</t>
  </si>
  <si>
    <t>Aktualizace stávajícího stavu - rekonstrukce úpravny vody.</t>
  </si>
  <si>
    <t>Aktualizace stávajícího stavu - rekonstrukce úpravny vody. Ve výhledu rekonstrukce vodovodu, vodojemu a prameniště, dále napojení 2 lokalit.</t>
  </si>
  <si>
    <t>Aktualizace stávajícího stavu - nově zbudována ČOV a část vodovodu.</t>
  </si>
  <si>
    <t>Aktualizace textu stávajícího stavu vodovodu.</t>
  </si>
  <si>
    <t>3111_054_00</t>
  </si>
  <si>
    <t>Strakonice</t>
  </si>
  <si>
    <t>3111_054_02</t>
  </si>
  <si>
    <t>Hajská</t>
  </si>
  <si>
    <t>3111_055_00</t>
  </si>
  <si>
    <t>Aktualizace textu stávajícího stavu včetně rekonstrukce úpraven vody. Ve výhledu rekonstrukce prameniště Pracejovice.</t>
  </si>
  <si>
    <t>Ve výhledu rekonstrukce a rozšíření kanalizace, aktualizace popisu technického řešení.</t>
  </si>
  <si>
    <t>Strašice</t>
  </si>
  <si>
    <t>3111_055_01</t>
  </si>
  <si>
    <t>Škůdra</t>
  </si>
  <si>
    <t>Třešovice</t>
  </si>
  <si>
    <t>Ve výhledu návrh výstavby kanalizace a ČOV.</t>
  </si>
  <si>
    <t>3111_065_00</t>
  </si>
  <si>
    <t>Velká Turná</t>
  </si>
  <si>
    <t>Ve výhledu návrh výstavby vodovodních řadů V1-5 a vodojemu.</t>
  </si>
  <si>
    <t>Ve výhledu návrh výstavby kanalizačních řadů K1-9 a ČOV - kemp A TC Milavy.</t>
  </si>
  <si>
    <t>3111_061_00</t>
  </si>
  <si>
    <t>Ve výhledu výstavba vodovodu a úpravny vody.</t>
  </si>
  <si>
    <t>Aktualizace stávajícího stavu - nová ČOV a kanalizační stoky. Ve výhledu rekonstrukce a rozšíření kanalizace.</t>
  </si>
  <si>
    <t>Aktualizace textu stávajícího stavu - nová ČOV. Ve výhledu rekonstrukce kanalizace.</t>
  </si>
  <si>
    <t>Aktualizace textu stávajícíího stavu - nový vodní zdroj, rozšíření vodovodu. Ve výhledu rekonstrukce vodovodu.</t>
  </si>
  <si>
    <t>3110_007_00</t>
  </si>
  <si>
    <t>Chotěmice</t>
  </si>
  <si>
    <t>3110_016_00</t>
  </si>
  <si>
    <t>Řípec</t>
  </si>
  <si>
    <t>3110_019_00</t>
  </si>
  <si>
    <t>Soběslav</t>
  </si>
  <si>
    <t>3110_019_01</t>
  </si>
  <si>
    <t>Chlebov</t>
  </si>
  <si>
    <t>3110_019_02</t>
  </si>
  <si>
    <t>Nedvědice</t>
  </si>
  <si>
    <t>Úprava textu stávajícího stavu - změna čísla zákona.</t>
  </si>
  <si>
    <t>Aktualizace textu stávajícího stavu - stavební povolení pro stabilizační nádrže, převod charakteru části vodního toku na kanalizační sběrač.</t>
  </si>
  <si>
    <t>Aktualizace textu stávajícího stavu - vybudována jednotná kanalizace, stavební povolení na stabilizační nádrže.</t>
  </si>
  <si>
    <t>Aktualizace textu stávajícího stavu. Ve výhledu rozšiřování vodovodu.</t>
  </si>
  <si>
    <t>Aktualizace textu stávajícího stavu - délka sítě. Ve výhledu rekonstrukce a rozšiřování vodovodu.</t>
  </si>
  <si>
    <t>Aktualizace textu stávajícího stavu - rekonstrukce ČOV. Ve výhledu rozšiřování kanalizace.</t>
  </si>
  <si>
    <t>Ve výhledu rozšíření vodovodu do nové zástavby.</t>
  </si>
  <si>
    <t>Ve výhledu rozšíření kanalizace do nové zástavby.</t>
  </si>
  <si>
    <t>Aktualizace textu stávajícího stavu. Ve výhledu výstavba ČOV a rozšíření kanalizace.</t>
  </si>
  <si>
    <t>3110_026_00</t>
  </si>
  <si>
    <t>Vlastiboř</t>
  </si>
  <si>
    <t>Ve výhledu výstavba nové kanalizace a ČOV.</t>
  </si>
  <si>
    <t>3110_026_02</t>
  </si>
  <si>
    <t>Aktualizace stávajícího stavu - od roku 2014 je v obci vybudován vodovod.</t>
  </si>
  <si>
    <t>Dvory</t>
  </si>
  <si>
    <t>3109_007_00</t>
  </si>
  <si>
    <t>3109_022_00</t>
  </si>
  <si>
    <t>Malovice</t>
  </si>
  <si>
    <t>3109_022_01</t>
  </si>
  <si>
    <t>Holečkov</t>
  </si>
  <si>
    <t>Doplněn text stávajícího stavu - odpadní voda likvidována jednotlivými vlastníky.</t>
  </si>
  <si>
    <t>3109_022_03</t>
  </si>
  <si>
    <t>Krtely</t>
  </si>
  <si>
    <t>Doplněn text stávajícího stavu - rozhodnutí o vypouštění platné do 30.4.2017.</t>
  </si>
  <si>
    <t>3109_022_04</t>
  </si>
  <si>
    <t>Malovičky</t>
  </si>
  <si>
    <t>Doplněn text stávajícího stavu - rozhodnutí o vypouštění platné do 30.4.2017, nová splašková kanalizace. Ve výhledu výstavba ČOV a rozšíření kanalizace.</t>
  </si>
  <si>
    <t>3109_022_05</t>
  </si>
  <si>
    <t>Poděřiště</t>
  </si>
  <si>
    <t>Aktualizace textu stávajícího stavu - rozhodnutí o vypouštění platné do 30.4.2017, nová splašková kanalizace. Ve výhledu napojení na ČOV Malovičky a rozšíření kanalizace.</t>
  </si>
  <si>
    <t>Ve výhledu výstavba nové části vodovodu a napojení na skupinový vodovod Jihočeského vodárenského svazu.</t>
  </si>
  <si>
    <t>Aktualizace textu stávajícího stavu - obnova vodovodu. Ve výhledu průběžná obnova a rozšíření vodovodu.</t>
  </si>
  <si>
    <t>Ve výhledu je uvažováno s výstavbou ČOV a obnovou kanalizace.</t>
  </si>
  <si>
    <t>3109_029_00</t>
  </si>
  <si>
    <t>Pěčnov</t>
  </si>
  <si>
    <t>Vitějovice</t>
  </si>
  <si>
    <t>3109_037_00</t>
  </si>
  <si>
    <t>Ve výhledu vybudování nového kanalizačního sběrače.</t>
  </si>
  <si>
    <t>3109_038_00</t>
  </si>
  <si>
    <t>Vlachovo Březí</t>
  </si>
  <si>
    <t>Ve výhledu je navržena stavba vodojemu, dostavba vodovodní sítě a úprava vodovodního přivaděče.</t>
  </si>
  <si>
    <t>Ve výhledu je navržena dostavba oddílné kanalizace, rekonstrukce a intenzifikace ČOV.</t>
  </si>
  <si>
    <t>3109_042_00</t>
  </si>
  <si>
    <t>Zbytiny</t>
  </si>
  <si>
    <t>Blažejovice</t>
  </si>
  <si>
    <t>3109_042_01</t>
  </si>
  <si>
    <t>Navržena je dostavba vodovodní sítě.</t>
  </si>
  <si>
    <t>Navržena je výstavba splaškové kanalizace.</t>
  </si>
  <si>
    <t>Aktualizace textu stávajícího stavu. Ve výhledu obnova vodních zdrojů a vybudování nových, rekonstrukce vodojemu, výstavba tlakové stanice.</t>
  </si>
  <si>
    <t>Aktualizace textu stávajícího stavu. Ve výhledu rekonstrukce kanalizace a ČOV.</t>
  </si>
  <si>
    <t>Aktualizace textu stávajícího stavu. Ve výhledu obnova vodních zdrojů a vodojemu, rekonstrukce a rozšíření vodovodu.</t>
  </si>
  <si>
    <t>Aktualizace textu stávajícího stavu - nová kanalizace a ČOV. Ve výhledu rekonstrukce a rozšíření kanalizace.</t>
  </si>
  <si>
    <t>3107_004_00</t>
  </si>
  <si>
    <t>Branice</t>
  </si>
  <si>
    <t>Ve výhledu výstavba splaškové kanalizace a ČOV.</t>
  </si>
  <si>
    <t>Aktualizace stávajícího stavu - v části obce nová oddílná kanalizace a ČOV. Ve výhledu napojení dalších částí na ČOV, doplnění, eventuálně rekonstruování, kanalizační sítě.</t>
  </si>
  <si>
    <t>Aktualizace stávajícího stavu. Ve výhledu rekonstrukce a rozšíření kanalizace, výstavba ČOV.</t>
  </si>
  <si>
    <t>Ve výhledu výstavba oddílné kanalizace a ČOV.</t>
  </si>
  <si>
    <t>Borečnice</t>
  </si>
  <si>
    <t>3108_005_01</t>
  </si>
  <si>
    <t>Bošovice</t>
  </si>
  <si>
    <t>3108_005_02</t>
  </si>
  <si>
    <t>Krašovice</t>
  </si>
  <si>
    <t>3108_005_03</t>
  </si>
  <si>
    <t>Ve výhledu výstavba vodovodního řadu pro ČOV.</t>
  </si>
  <si>
    <t>Ve výhledu bude vybudován vodovod pro centrální ČOV Čížová.</t>
  </si>
  <si>
    <t>Ve výhledu se plánuje výstavba ČOV.</t>
  </si>
  <si>
    <t>Ve výhledu se plánuje rekonstrukce jímek/septiků, příp. jejich intenzifikace na domovní ČOV.</t>
  </si>
  <si>
    <t>Ve výhledu bude dobudována oddílná kanalizace. Odpadní vody budou odváděny na plánovanou ČOV v lokalitě u Zlivického rybníka.</t>
  </si>
  <si>
    <t>Ve výhledu bude obnovována a rozšiřována kanalizace. Odpadní vody budou odváděny na plánovanou ČOV v lokalitě u Zlivického rybníka.</t>
  </si>
  <si>
    <t>3108_006_04</t>
  </si>
  <si>
    <t>Velké Nepodřice</t>
  </si>
  <si>
    <t>Ve výhledu se plánuje rozšíření a dostavění kanalizace zakončené kořenovou ČOV.</t>
  </si>
  <si>
    <t>Ve výhledu je plánována výstavba vodovodní čerpací stanice s akumulací a další rozšiřování vodovodu.</t>
  </si>
  <si>
    <t>Ve výhledu bude rozšířena a dostavěna kanallizace s přečerpávací stanicí a tlakovou kanalizací s napojením na kanalizaci v Písku.</t>
  </si>
  <si>
    <t>Ve výhledu bude rozšířena a dostavěna kanalizace včetně ČOV.</t>
  </si>
  <si>
    <t>Aktualizace textu výhledového stavu - změna délek plánované vodovodní sítě.</t>
  </si>
  <si>
    <t>3108_012_00</t>
  </si>
  <si>
    <t>Kluky</t>
  </si>
  <si>
    <t>Ve výhledu bude vodovodní síť rozšiřována a plánuje se zhotovit posilující vrt.</t>
  </si>
  <si>
    <t>Ve výhledu bude kanalizační síť rozšiřována, je uvažováno o výstavbě ČOV.</t>
  </si>
  <si>
    <t>3108_027_00</t>
  </si>
  <si>
    <t>Ostrovec</t>
  </si>
  <si>
    <t>Aktualizace textu stávajícího stavu - nové vodní zdroje, změna seznamu firem-odběratelů.</t>
  </si>
  <si>
    <t>3108_029_02</t>
  </si>
  <si>
    <t>Hradiště</t>
  </si>
  <si>
    <t>Doplněna varianta budoucího zásobování města Písku pitnou vodou - výstavba nové úpravny v lokalitě vrchu Hradiště.</t>
  </si>
  <si>
    <t>3108_035_00</t>
  </si>
  <si>
    <t>Rakovice</t>
  </si>
  <si>
    <t>Ve výhledu výstavba vodovodu včetně napojení na vodovod VSJČ.</t>
  </si>
  <si>
    <t>3108_041_00</t>
  </si>
  <si>
    <t>Temešvár</t>
  </si>
  <si>
    <t>Ve výhledu je plánována celková rekonstrukce úpravny vody.</t>
  </si>
  <si>
    <t>Aktualizace textu stávajícího stavu - existují soukromé ČOV a ČOV u obecního bytového domu. Ve výhledu doplněna varianta zřízení ČOV pro jednotlivé domy místo výstavby centrální ČOV.</t>
  </si>
  <si>
    <t>Aktualizace textu stávajícího stavu. Ve výhledu realizace nových vrtů a výstavba vodojemu.</t>
  </si>
  <si>
    <t>3106_001_02</t>
  </si>
  <si>
    <t>Děkanské Skaliny</t>
  </si>
  <si>
    <t>3106_001_04</t>
  </si>
  <si>
    <t>Hartunkov</t>
  </si>
  <si>
    <t>3106_001_07</t>
  </si>
  <si>
    <t>Ličov</t>
  </si>
  <si>
    <t>Aktualizace stávajícího stavu - změna provozovatele, vybudována nová ČOV, tudíž ve výhledu zrušen záměr rekonstrukce ČOV.</t>
  </si>
  <si>
    <t>Změna provozovatele. Obec má projektově připraveno napojení napojení náhradního zdroje pitné vody na stávající vodovodní systém.</t>
  </si>
  <si>
    <t>Ve výhledu změna cílového roku na rok 2025.</t>
  </si>
  <si>
    <t>Je připravena rekonstrukce stávajícího vodojemu.</t>
  </si>
  <si>
    <t>Ve výhledu budou obnoveny podzemní zdroje pitné vody.</t>
  </si>
  <si>
    <t>Ve výhledu doplnění varianty řešení likvidace odpadních vod - výstavba ČOV nebo výstavba čerpací stanice a napojení na ČOV Horní Dvořiště.</t>
  </si>
  <si>
    <t>3106_009_00</t>
  </si>
  <si>
    <t>Omlenice</t>
  </si>
  <si>
    <t>Aktualizace stávajícího stavu - vybudován nový vodní zdroj, rekonstruován vodojem.</t>
  </si>
  <si>
    <t>3106_009_01</t>
  </si>
  <si>
    <t>Blažkov</t>
  </si>
  <si>
    <t>Ve výhledu změna cílového roku na rok 2025, zrušení plánu výstavby kanalizace a ČOV.</t>
  </si>
  <si>
    <t>3106_009_02</t>
  </si>
  <si>
    <t>Omlenička</t>
  </si>
  <si>
    <t>3106_009_03</t>
  </si>
  <si>
    <t>Stradov</t>
  </si>
  <si>
    <t>3106_009_04</t>
  </si>
  <si>
    <t>Výnězda</t>
  </si>
  <si>
    <t>3106_011_00</t>
  </si>
  <si>
    <t>Rožmitál na Šumavě</t>
  </si>
  <si>
    <t>Aktualizace stávajícího stavu - vybudován nový vodní zdroj, rekonstruován vodojem a vodovod.</t>
  </si>
  <si>
    <t>Aktualizace stávajícího stavu - platné povoloní k vypouštění odpadních vod, vybudována kanalizace a ČOV, tudíž zrušení plánu jejich výstavby ve výhledu.</t>
  </si>
  <si>
    <t>Aktualizace textu stávajícího i výhledového stavu (např. změna kapacity plánované ČOV).</t>
  </si>
  <si>
    <t>Aktualizace stávajícího stavu - vybudován nový vodní zdroj, rekonstruován vodojem. Ve výhledu rozšíření vodovodu.</t>
  </si>
  <si>
    <t>Aktualizace textu stávajícího i výhledového stavu, zejména zrušením některých údajů.</t>
  </si>
  <si>
    <t>Aktualizace textu stávajícího stavu. Ve výhledu vybudování nových vodních zdrojů a úpravny vody.</t>
  </si>
  <si>
    <t>3105_008_00</t>
  </si>
  <si>
    <t>Deštná</t>
  </si>
  <si>
    <t>Lipovka</t>
  </si>
  <si>
    <t>3105_008_01</t>
  </si>
  <si>
    <t>3105_009_00</t>
  </si>
  <si>
    <t>Dívčí Kopy</t>
  </si>
  <si>
    <t>Je vybudováno napojení obecního vodovodu na vodovodní řád vedoucí z vodojemu Fedrpuš, bylo provedeno odpojení přívodního řádu z obce Horní Pěna. Je plánované rozšíření vodovodu.</t>
  </si>
  <si>
    <t>3105_014_00</t>
  </si>
  <si>
    <t>Hadravova Rosička</t>
  </si>
  <si>
    <t>Ve výhledu vybudování společného vodojemu a studny mezi obcí Dívčí Kopy – Hadravova Rosička v lokalitě „Bradlo“ v k.ú. Dívčí Kopy.</t>
  </si>
  <si>
    <t>Ve výhledu doplněna varianta - napojení na ČOV Dolní Skrýchov nebo výstavba ČOV.</t>
  </si>
  <si>
    <t>3105_021_00</t>
  </si>
  <si>
    <t>Jilem</t>
  </si>
  <si>
    <t>3105_031_00</t>
  </si>
  <si>
    <t>Nová Olešná</t>
  </si>
  <si>
    <t>Aktualizace textu stávajícího stavu - nový vodní zdroj a vodovod.</t>
  </si>
  <si>
    <t>Úprava textu stávajícího stavu. Ve výhledu rozšíření úpravny vody, rekonstrukce a rozšíření vodovodu.</t>
  </si>
  <si>
    <t>Aktualizace textu stávajícího stavu - intenzifikace ČOV. Ve výhledu rekonstrukce a rozšíření kanalizace.</t>
  </si>
  <si>
    <t>Úprava textu stávajícího stavu. Ve výhledu výstavba kanalizace a ČOV.</t>
  </si>
  <si>
    <t>Úprava textu stávajícího stavu. Ve výhledu zřízení podzemního vrtu s vodojemem.</t>
  </si>
  <si>
    <t>Doplnění textu výhledového stavu dalšímu údaji.</t>
  </si>
  <si>
    <t>Doplnění textu výhledového stavu dalšímu údaji (výstavba vodovodu).</t>
  </si>
  <si>
    <t>Ve výhledu rozšíření kanalizace a výstavba ČOV.</t>
  </si>
  <si>
    <t>3105_035_00</t>
  </si>
  <si>
    <t>Plavsko</t>
  </si>
  <si>
    <t>Ve výhledu výstavba tlakové stanice pro napojení na výtlačný řad z úpravny v Dolním Bukovsku.</t>
  </si>
  <si>
    <t>Ve výhledu řešení napojením dvou lokalit na obecní kanalizaci napojenou na ČOV.</t>
  </si>
  <si>
    <t>Aktualizace textu stávajícího stavu - v části zbudován nový vodovod. Ve výhledu rozšíření vodovodu a řešení napojením dvou lokalit na obecní vodovod.</t>
  </si>
  <si>
    <t>3105_047_00</t>
  </si>
  <si>
    <t>Strmilov</t>
  </si>
  <si>
    <t>3105_047_01</t>
  </si>
  <si>
    <t>3105_047_02</t>
  </si>
  <si>
    <t>Česká Olešná</t>
  </si>
  <si>
    <t>Leština</t>
  </si>
  <si>
    <t>3105_047_03</t>
  </si>
  <si>
    <t>Malý Jeníkov</t>
  </si>
  <si>
    <t>3105_047_04</t>
  </si>
  <si>
    <t>Palupín</t>
  </si>
  <si>
    <t>Úprava textu stávajícího stavu. Ve výhledu rozšíření vodovodu.</t>
  </si>
  <si>
    <t>Úprava textu stávajícího stavu kanalizace.</t>
  </si>
  <si>
    <t>Úprava textu stávajícího stavu vodovodu.</t>
  </si>
  <si>
    <t>Úprava textu stávajícího a výhledového stavu kanalizace. Zahájeno řízení o povolení k vypouštění odpadních vod.</t>
  </si>
  <si>
    <t>Úprava textu stávajícího stavu kanalizace. Platné povolení k vypouštění odpadních vod, výstavba ČOV.</t>
  </si>
  <si>
    <t>Úprava textu stávajícího stavu kanalizace. Platné povolení k vypouštění odpadních vod, výstavba ČOV, rekonstrukce kanalizace.</t>
  </si>
  <si>
    <t>3105_051_00</t>
  </si>
  <si>
    <t>Velký Ratmírov</t>
  </si>
  <si>
    <t>3105_052_00</t>
  </si>
  <si>
    <t>Vícemil</t>
  </si>
  <si>
    <t>3105_054_00</t>
  </si>
  <si>
    <t>Vlčetín</t>
  </si>
  <si>
    <t>Obec Vlčetínec bude zásobena vodovodem ze studní v k.ú. Vlčetínec.</t>
  </si>
  <si>
    <t>Ve výhledu je plánována výstavba splaškové kanalizace a ČOV.</t>
  </si>
  <si>
    <t>3105_058_00</t>
  </si>
  <si>
    <t>Úprava textu stávajícího stavu vodovodu. Ve výhledu rozšíření vodovodu.</t>
  </si>
  <si>
    <t>Úprava textu stávajícího stavu kanalizace. Ve výhledu rozšíření kanalizace.</t>
  </si>
  <si>
    <t>Aktualizace textu stávajícího stavu - nová kanalizace a ČOV v části obce. Ve výhledu rozšíření kanalizace a navýšení kapacity ČOV.</t>
  </si>
  <si>
    <t>3103_001_00</t>
  </si>
  <si>
    <t>Bohdalovice</t>
  </si>
  <si>
    <t>3103_001_03</t>
  </si>
  <si>
    <t>Suš</t>
  </si>
  <si>
    <t>Budou obnoveny podzemní zdroje pitné vody.</t>
  </si>
  <si>
    <t>Aktualizace textu stávajícího stavu vodovodu - nová úprava vody. Změny v textu výhledového stavu.</t>
  </si>
  <si>
    <t>3103_006_00</t>
  </si>
  <si>
    <t>Doplnění provozovatele. Ve výhledu intenzifikace ČOV.</t>
  </si>
  <si>
    <t>3103_006_02</t>
  </si>
  <si>
    <t>Dolní Svince</t>
  </si>
  <si>
    <t>Osada D. Svince bude napojena na vodovod Dolní Třebonín - Pr. Svince.</t>
  </si>
  <si>
    <t>3103_006_03</t>
  </si>
  <si>
    <t>Horní Svince</t>
  </si>
  <si>
    <t>Osada H. Svince bude napojena na vodovod Dolní Třebonín - Pr. Svince.</t>
  </si>
  <si>
    <t>3103_006_04</t>
  </si>
  <si>
    <t>Prostřední Svince</t>
  </si>
  <si>
    <t>Osada Pr. Svince bude napojena na vodovod Dolní Třebonín.</t>
  </si>
  <si>
    <t>Záluží u Dolního Třebonína</t>
  </si>
  <si>
    <t>Aktualizace textu stávajícího stavu - nový vodní zdroj, vodojem a vodovodní řady. Ve výhledu rekonstrukce a rozšíření vodovodu.</t>
  </si>
  <si>
    <t>Aktualizace textu stávajícího stavu - nové kanalizační řady. Ve výhledu rekonstrukce a rozšíření kanalizace, výstavba nebo intenzifikace ČOV.</t>
  </si>
  <si>
    <t>3103_013_00</t>
  </si>
  <si>
    <t>3103_013_05</t>
  </si>
  <si>
    <t>Mezipotočí</t>
  </si>
  <si>
    <t>Aktualizace textu stávajícího stavu. Ve výhledu obnova a rozšíření vodovodu.</t>
  </si>
  <si>
    <t>3103_013_03</t>
  </si>
  <si>
    <t>Křenov</t>
  </si>
  <si>
    <t>Aktualizace textu stávajícího stavu - změna dopravy vody do spotřebiště (přes tlakovou stanici místo gravitačně). Ve výhledu vybudování nových zdrojů podzemní vody.</t>
  </si>
  <si>
    <t>Aktualizace textu stávajícího stavu - nová ČOV.</t>
  </si>
  <si>
    <t>Ve výhledu se předpokládá vybudování nových zdrojů podzemní vody.</t>
  </si>
  <si>
    <t>3103_019_00</t>
  </si>
  <si>
    <t>Mojné</t>
  </si>
  <si>
    <t>3103_019_01</t>
  </si>
  <si>
    <t>Černice</t>
  </si>
  <si>
    <t>3103_019_02</t>
  </si>
  <si>
    <t>Záhorkovice</t>
  </si>
  <si>
    <t>Ve výhledu změna cílového roku na rok 2025, zrušena možnost přečerpávání odpadních vod na ČOV Mojné.</t>
  </si>
  <si>
    <t>Ve výhledu zrušena varianta výstavby ČOV typu stabilizační nádrž.</t>
  </si>
  <si>
    <t>Ve výhledu postupná obnova a rozšíření kanalizace, obnova, příp. intenzifikace ČOV.</t>
  </si>
  <si>
    <t>Ve výhledu napojení na vodovod v obci Mojné, který je zásoben z VSJČ.</t>
  </si>
  <si>
    <t>Ve výhledu je plánována výstavba ČOV.</t>
  </si>
  <si>
    <t>Aktualizace textu stávajícího stavu kanalizace.</t>
  </si>
  <si>
    <t>Aktualizace textu stávajícího stavu vodovodu. Ve výhledu ponecháno pouze rozšíření vodovodu.</t>
  </si>
  <si>
    <t>3103_026_00</t>
  </si>
  <si>
    <t>Světlík</t>
  </si>
  <si>
    <t>3103_028_00</t>
  </si>
  <si>
    <t>Věžovatá Pláně</t>
  </si>
  <si>
    <t>3103_031_00</t>
  </si>
  <si>
    <t>Zubčice</t>
  </si>
  <si>
    <t>Obec má zpracovánu projektovou dokumentaci pro podchycení stávajících výústí do místní vodoteče a jejich svedení stokou do stabilizační nádrže.</t>
  </si>
  <si>
    <t>Obec zpracovává projektovou dokumentaci pro výstavbu oddílné kanalizace.</t>
  </si>
  <si>
    <t>3103_031_01</t>
  </si>
  <si>
    <t>Markvartice</t>
  </si>
  <si>
    <t>3103_031_02</t>
  </si>
  <si>
    <t>Zubčická Lhotka</t>
  </si>
  <si>
    <t>Aktualizace textu stávajícího stavu - nová splašková kanalizace a ČOV. Ve výhledu je tedy plán jejich výstavby zrušen.</t>
  </si>
  <si>
    <t>Ve výhledu zprovoznění prameniště Kamýk, rekonstrukce a rozšíření vodovodu.</t>
  </si>
  <si>
    <t>Úprava textu stávajícího stavu. Ve výhledu obnova a rozšíření kanalizace, případně intenzifikace ČOV.</t>
  </si>
  <si>
    <t>Aktualizace textu stávajícího stavu - dostavba kanalizace. Ve výhledu tedy dostavba kanalizace zrušena.</t>
  </si>
  <si>
    <t>Aktualizace textu stávajícího stavu - nové vodní zdroje. Ve výhledu doplněna výstavba úpravny, zrušeno rozšíření vodovodu.</t>
  </si>
  <si>
    <t>3104_003_00</t>
  </si>
  <si>
    <t>Budíškovice</t>
  </si>
  <si>
    <t>3104_003_01</t>
  </si>
  <si>
    <t>Manešovice</t>
  </si>
  <si>
    <t>Ve výhledu napojení obce na skupinový vodovod Landštejn.</t>
  </si>
  <si>
    <t>Vydáno nové povolení k vypouštění odpadních vod.</t>
  </si>
  <si>
    <t>Ostojkovice</t>
  </si>
  <si>
    <t>3104_003_02</t>
  </si>
  <si>
    <t>3104_003_03</t>
  </si>
  <si>
    <t>Vesce</t>
  </si>
  <si>
    <t>Aktualizace stávajícího stavu - obnova a intenzifikace ČOV již proběhla.</t>
  </si>
  <si>
    <t>Ve výhledu intenzifikace a mírné zkapacitnění ČOV.</t>
  </si>
  <si>
    <t>3104_007_10</t>
  </si>
  <si>
    <t>Chlumec</t>
  </si>
  <si>
    <t>Ve výhledu doplněna varianta decentrálního způsobu čištění.</t>
  </si>
  <si>
    <t>3104_007_11</t>
  </si>
  <si>
    <t>Lipolec</t>
  </si>
  <si>
    <t>Změna trasy plánovaného vodovodu DN 80 mezi obcemi Lipolec a Hostkovice s vybudováním nového zásobního vodojemu.</t>
  </si>
  <si>
    <t>Změna trasy kanalizace mezi obcemi Lipolec a Hostkovice, včetně změny gravitační kanalizace za tlakovou. Uvedení umístění ČOV v místních částech do souladu s územním plánem.</t>
  </si>
  <si>
    <t>3104_014_01</t>
  </si>
  <si>
    <t>Jersice</t>
  </si>
  <si>
    <t>Aktualizace textu stávajícího stavu. Ve výhledu posílení vodních zdrojů, výstavba úpravny vody a přívodního řadu.</t>
  </si>
  <si>
    <t>Ve výhledu možnosti rekonstrukce kanalizace nebo výstavby nové oddílné.</t>
  </si>
  <si>
    <t>Aktualizace textu stávajícího stavu. Ve výhledu navržen způsob čištění odpadních vod pomocí stabilizační nádrže.</t>
  </si>
  <si>
    <t>Aktualizace textu stávajícího stavu - nové vodovodní přípojky, vodovodní řady a vodojem. Ve výhledu oprava požární nádrže.</t>
  </si>
  <si>
    <t>3104_018_01</t>
  </si>
  <si>
    <t>Kadolec</t>
  </si>
  <si>
    <t>3104_018_02</t>
  </si>
  <si>
    <t>Maříž</t>
  </si>
  <si>
    <t>3104_018_03</t>
  </si>
  <si>
    <t>3104_018_04</t>
  </si>
  <si>
    <t>Mutišov</t>
  </si>
  <si>
    <t>Rubášov</t>
  </si>
  <si>
    <t>Ve výhledu změna cílového roku na rok 2015, odpadní vody zachycovány v jímkách a vyváženy na ČOV.</t>
  </si>
  <si>
    <t>3104_018_05</t>
  </si>
  <si>
    <t>Stálkov</t>
  </si>
  <si>
    <t>3104_018_06</t>
  </si>
  <si>
    <t>Vlastkovec</t>
  </si>
  <si>
    <t>Úprava textu stávajícího stavu. Ve výhledu varianty výstavby splaškové kanalizace a ČOV nebo decentrálního způsobu likvidace odpadních vod.</t>
  </si>
  <si>
    <t>Ve výhledu změna cílového roku na rok 2015, varianty výstavby ČOV nebo decentrálního způsobu likvidace odpadních vod.</t>
  </si>
  <si>
    <t>Úprava textu stávajícího stavu.</t>
  </si>
  <si>
    <t>Úprava textu stávajícího stavu. Ve výhledu rekonstrukce a rozšíření kanalizace.</t>
  </si>
  <si>
    <t>3104_020_01</t>
  </si>
  <si>
    <t>Domašín</t>
  </si>
  <si>
    <t>3104_020_02</t>
  </si>
  <si>
    <t>Horní Bolíkov</t>
  </si>
  <si>
    <t>3104_020_03</t>
  </si>
  <si>
    <t>Horní Pole</t>
  </si>
  <si>
    <t>Aktualizace textu stávajícího stavu - v Horním Poli jsou dvě volné výusti s povolením k vypouštěním odpadních vod do 31.12.2025</t>
  </si>
  <si>
    <t>Aktualizace textu stávajícího stavu - počet připojených obyvatel.</t>
  </si>
  <si>
    <t>Úprava textu stávajícího a výhledového stavu.</t>
  </si>
  <si>
    <t>Aktualizace textu stávajícího stavu. Ve výhledu doplněna lokality umístění plánované ČOV.</t>
  </si>
  <si>
    <t>Aktualizace textu stávajícího stavu. Ve výhledu rekonstrukce vodovodu.</t>
  </si>
  <si>
    <t>Aktualizace textu stávajícího stavu - vystavěny nové úseky kanalizace a proběhla modernizace ČOV. Ve výhledu rekonstrukce a rozšíření kanalizace.</t>
  </si>
  <si>
    <t>3104_020_04</t>
  </si>
  <si>
    <t>Maršov</t>
  </si>
  <si>
    <t>3104_020_05</t>
  </si>
  <si>
    <t>Olšany</t>
  </si>
  <si>
    <t>3104_020_06</t>
  </si>
  <si>
    <t>Skrýchov</t>
  </si>
  <si>
    <t>Úprava textu stávajícího stavu. Platné povolení k vypouštění odpadních vod.</t>
  </si>
  <si>
    <t>Aktualizace textu stávajícího stavu - nový vodní zdroj, částečná rekonstrukce přívodního řadu, instalace vodoměrů a další.</t>
  </si>
  <si>
    <t>Aktualizace textu stávajícího stavu - nový vodní zdroj, počet přípojek. Ve výhledu rekonstrukce a rozšíření vodovodu.</t>
  </si>
  <si>
    <t>Aktualizace textu stávajícího stavu - nový vodní zdroj a zásobní řad k úpravně.</t>
  </si>
  <si>
    <t>3104_020_07</t>
  </si>
  <si>
    <t>Sumrakov</t>
  </si>
  <si>
    <t>V roce 2016 dojde k osazení automatickým dávkováním chloru.</t>
  </si>
  <si>
    <t>3104_020_08</t>
  </si>
  <si>
    <t>Světlá</t>
  </si>
  <si>
    <t>Aktualizace textu stávajícího stavu - jímky jsou vyváženy na ČOV.</t>
  </si>
  <si>
    <t>3104_020_09</t>
  </si>
  <si>
    <t>Velký Jeníkov</t>
  </si>
  <si>
    <t>Aktualizace textu stávajícího stavu - nová úpravna vody. Ve výhledu rekonstrukce vodovodu.</t>
  </si>
  <si>
    <t>Doplnění údajů do textu stávajícího stavu.</t>
  </si>
  <si>
    <t>Platné povolení k vypouštění odpadních vod. Doplnění údajů do textu výhledového stavu.</t>
  </si>
  <si>
    <t xml:space="preserve">Platné povolení k vypouštění odpadních vod. </t>
  </si>
  <si>
    <t>Technické řešení - PRVKÚC změna č. 6</t>
  </si>
  <si>
    <t>Poř.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</si>
</sst>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0" fontId="6" fillId="0" borderId="1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/>
    </xf>
    <xf numFmtId="0" fontId="6" fillId="0" borderId="0" xfId="0" applyFont="1" applyFill="1" applyBorder="1"/>
    <xf numFmtId="0" fontId="6" fillId="0" borderId="1" xfId="0" applyFont="1" applyFill="1" applyBorder="1" applyAlignment="1">
      <alignment vertical="top" wrapText="1"/>
    </xf>
    <xf numFmtId="0" fontId="0" fillId="3" borderId="12" xfId="0" applyFill="1" applyBorder="1" applyAlignment="1">
      <alignment vertical="top"/>
    </xf>
    <xf numFmtId="164" fontId="6" fillId="0" borderId="1" xfId="0" applyNumberFormat="1" applyFont="1" applyFill="1" applyBorder="1" applyAlignment="1">
      <alignment horizontal="right" vertical="top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6" fillId="3" borderId="12" xfId="0" applyFont="1" applyFill="1" applyBorder="1" applyAlignment="1">
      <alignment horizontal="center" vertical="top" wrapText="1"/>
    </xf>
    <xf numFmtId="0" fontId="0" fillId="3" borderId="12" xfId="0" applyFill="1" applyBorder="1"/>
    <xf numFmtId="164" fontId="0" fillId="3" borderId="12" xfId="0" applyNumberFormat="1" applyFill="1" applyBorder="1" applyAlignment="1">
      <alignment vertical="top"/>
    </xf>
    <xf numFmtId="21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vertical="top"/>
    </xf>
    <xf numFmtId="0" fontId="6" fillId="0" borderId="16" xfId="0" applyFont="1" applyFill="1" applyBorder="1" applyAlignment="1">
      <alignment vertical="top" wrapText="1"/>
    </xf>
    <xf numFmtId="164" fontId="6" fillId="0" borderId="16" xfId="0" applyNumberFormat="1" applyFont="1" applyFill="1" applyBorder="1" applyAlignment="1">
      <alignment horizontal="right" vertical="top"/>
    </xf>
    <xf numFmtId="0" fontId="6" fillId="0" borderId="10" xfId="0" applyFont="1" applyFill="1" applyBorder="1" applyAlignment="1">
      <alignment vertical="top" wrapText="1"/>
    </xf>
    <xf numFmtId="0" fontId="6" fillId="0" borderId="10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vertical="top" wrapText="1"/>
    </xf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0" fontId="3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top" wrapText="1"/>
    </xf>
    <xf numFmtId="0" fontId="0" fillId="3" borderId="21" xfId="0" applyFill="1" applyBorder="1" applyAlignment="1">
      <alignment vertical="top"/>
    </xf>
    <xf numFmtId="0" fontId="5" fillId="3" borderId="22" xfId="0" applyFont="1" applyFill="1" applyBorder="1" applyAlignment="1">
      <alignment vertical="top"/>
    </xf>
    <xf numFmtId="0" fontId="6" fillId="3" borderId="22" xfId="0" applyFont="1" applyFill="1" applyBorder="1" applyAlignment="1">
      <alignment horizontal="center" vertical="top" wrapText="1"/>
    </xf>
    <xf numFmtId="0" fontId="0" fillId="3" borderId="22" xfId="0" applyFill="1" applyBorder="1"/>
    <xf numFmtId="0" fontId="0" fillId="3" borderId="22" xfId="0" applyFill="1" applyBorder="1" applyAlignment="1">
      <alignment vertical="top"/>
    </xf>
    <xf numFmtId="164" fontId="0" fillId="3" borderId="22" xfId="0" applyNumberFormat="1" applyFill="1" applyBorder="1" applyAlignment="1">
      <alignment vertical="top"/>
    </xf>
    <xf numFmtId="0" fontId="6" fillId="0" borderId="1" xfId="0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horizontal="right" vertical="top"/>
    </xf>
    <xf numFmtId="0" fontId="6" fillId="0" borderId="23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horizontal="right" vertical="top"/>
    </xf>
    <xf numFmtId="1" fontId="6" fillId="0" borderId="16" xfId="0" applyNumberFormat="1" applyFont="1" applyFill="1" applyBorder="1" applyAlignment="1">
      <alignment horizontal="right" vertical="top"/>
    </xf>
    <xf numFmtId="0" fontId="7" fillId="4" borderId="12" xfId="0" applyFont="1" applyFill="1" applyBorder="1" applyAlignment="1">
      <alignment vertical="top"/>
    </xf>
    <xf numFmtId="0" fontId="5" fillId="3" borderId="12" xfId="0" applyFont="1" applyFill="1" applyBorder="1" applyAlignment="1">
      <alignment horizontal="right" vertical="top"/>
    </xf>
    <xf numFmtId="0" fontId="1" fillId="0" borderId="2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1" fontId="6" fillId="0" borderId="18" xfId="0" applyNumberFormat="1" applyFont="1" applyFill="1" applyBorder="1" applyAlignment="1">
      <alignment horizontal="right" vertical="top"/>
    </xf>
    <xf numFmtId="0" fontId="6" fillId="0" borderId="18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 wrapText="1"/>
    </xf>
    <xf numFmtId="0" fontId="6" fillId="0" borderId="27" xfId="0" applyNumberFormat="1" applyFont="1" applyFill="1" applyBorder="1" applyAlignment="1">
      <alignment horizontal="left" vertical="top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vertical="top"/>
    </xf>
    <xf numFmtId="164" fontId="6" fillId="0" borderId="18" xfId="0" applyNumberFormat="1" applyFont="1" applyFill="1" applyBorder="1" applyAlignment="1">
      <alignment horizontal="right" vertical="top"/>
    </xf>
    <xf numFmtId="21" fontId="6" fillId="0" borderId="18" xfId="0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right" vertical="top"/>
    </xf>
    <xf numFmtId="21" fontId="6" fillId="0" borderId="16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top" wrapText="1"/>
    </xf>
    <xf numFmtId="0" fontId="1" fillId="0" borderId="2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top"/>
    </xf>
    <xf numFmtId="1" fontId="6" fillId="0" borderId="13" xfId="0" applyNumberFormat="1" applyFont="1" applyFill="1" applyBorder="1" applyAlignment="1">
      <alignment horizontal="right" vertical="top"/>
    </xf>
    <xf numFmtId="0" fontId="6" fillId="0" borderId="13" xfId="0" applyFont="1" applyFill="1" applyBorder="1" applyAlignment="1">
      <alignment vertical="top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right" vertical="top"/>
    </xf>
    <xf numFmtId="164" fontId="6" fillId="0" borderId="13" xfId="0" applyNumberFormat="1" applyFont="1" applyFill="1" applyBorder="1" applyAlignment="1">
      <alignment vertical="top"/>
    </xf>
    <xf numFmtId="0" fontId="6" fillId="0" borderId="24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right" vertical="top"/>
    </xf>
    <xf numFmtId="1" fontId="6" fillId="0" borderId="24" xfId="0" applyNumberFormat="1" applyFont="1" applyFill="1" applyBorder="1" applyAlignment="1">
      <alignment horizontal="right" vertical="top"/>
    </xf>
    <xf numFmtId="0" fontId="6" fillId="0" borderId="24" xfId="0" applyFont="1" applyFill="1" applyBorder="1" applyAlignment="1">
      <alignment vertical="top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/>
    </xf>
    <xf numFmtId="164" fontId="6" fillId="0" borderId="24" xfId="0" applyNumberFormat="1" applyFont="1" applyFill="1" applyBorder="1" applyAlignment="1">
      <alignment horizontal="right" vertical="top"/>
    </xf>
    <xf numFmtId="164" fontId="6" fillId="0" borderId="24" xfId="0" applyNumberFormat="1" applyFont="1" applyFill="1" applyBorder="1" applyAlignment="1">
      <alignment vertical="top"/>
    </xf>
    <xf numFmtId="0" fontId="6" fillId="0" borderId="35" xfId="0" applyFont="1" applyFill="1" applyBorder="1" applyAlignment="1">
      <alignment horizontal="center" vertical="top"/>
    </xf>
    <xf numFmtId="21" fontId="1" fillId="0" borderId="16" xfId="0" applyNumberFormat="1" applyFont="1" applyFill="1" applyBorder="1" applyAlignment="1">
      <alignment vertical="top" wrapText="1" shrinkToFi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top" wrapText="1"/>
    </xf>
    <xf numFmtId="14" fontId="1" fillId="0" borderId="10" xfId="0" applyNumberFormat="1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21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28" xfId="0" applyNumberFormat="1" applyFont="1" applyFill="1" applyBorder="1" applyAlignment="1">
      <alignment horizontal="left" vertical="top" wrapText="1"/>
    </xf>
    <xf numFmtId="21" fontId="1" fillId="0" borderId="18" xfId="0" applyNumberFormat="1" applyFont="1" applyFill="1" applyBorder="1" applyAlignment="1">
      <alignment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27" xfId="0" applyNumberFormat="1" applyFont="1" applyFill="1" applyBorder="1" applyAlignment="1">
      <alignment horizontal="left" vertical="top" wrapText="1"/>
    </xf>
    <xf numFmtId="21" fontId="1" fillId="0" borderId="24" xfId="0" applyNumberFormat="1" applyFont="1" applyFill="1" applyBorder="1" applyAlignment="1">
      <alignment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9" xfId="0" applyNumberFormat="1" applyFont="1" applyFill="1" applyBorder="1" applyAlignment="1">
      <alignment horizontal="left" vertical="top" wrapText="1"/>
    </xf>
    <xf numFmtId="0" fontId="1" fillId="0" borderId="25" xfId="0" applyNumberFormat="1" applyFont="1" applyFill="1" applyBorder="1" applyAlignment="1">
      <alignment horizontal="left" vertical="top" wrapText="1"/>
    </xf>
    <xf numFmtId="21" fontId="1" fillId="0" borderId="16" xfId="0" applyNumberFormat="1" applyFont="1" applyFill="1" applyBorder="1" applyAlignment="1">
      <alignment vertical="top"/>
    </xf>
    <xf numFmtId="0" fontId="1" fillId="0" borderId="16" xfId="0" applyFont="1" applyFill="1" applyBorder="1" applyAlignment="1">
      <alignment horizontal="left" vertical="top" wrapText="1"/>
    </xf>
    <xf numFmtId="21" fontId="1" fillId="0" borderId="1" xfId="0" applyNumberFormat="1" applyFont="1" applyFill="1" applyBorder="1" applyAlignment="1">
      <alignment vertical="top" wrapText="1" shrinkToFi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21" fontId="1" fillId="0" borderId="10" xfId="0" applyNumberFormat="1" applyFont="1" applyFill="1" applyBorder="1" applyAlignment="1">
      <alignment vertical="top"/>
    </xf>
    <xf numFmtId="0" fontId="1" fillId="0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21" fontId="1" fillId="0" borderId="10" xfId="0" applyNumberFormat="1" applyFont="1" applyFill="1" applyBorder="1" applyAlignment="1">
      <alignment vertical="top" wrapText="1" shrinkToFit="1"/>
    </xf>
    <xf numFmtId="164" fontId="8" fillId="0" borderId="1" xfId="0" applyNumberFormat="1" applyFont="1" applyFill="1" applyBorder="1" applyAlignment="1">
      <alignment vertical="top"/>
    </xf>
    <xf numFmtId="21" fontId="6" fillId="0" borderId="10" xfId="0" applyNumberFormat="1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right" vertical="top"/>
    </xf>
    <xf numFmtId="0" fontId="6" fillId="0" borderId="25" xfId="0" applyNumberFormat="1" applyFont="1" applyFill="1" applyBorder="1" applyAlignment="1">
      <alignment horizontal="left" vertical="top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0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4"/>
  <sheetViews>
    <sheetView tabSelected="1" zoomScale="90" zoomScaleNormal="90" zoomScaleSheetLayoutView="100" workbookViewId="0">
      <selection activeCell="I40" sqref="I40"/>
    </sheetView>
  </sheetViews>
  <sheetFormatPr defaultRowHeight="12.75" x14ac:dyDescent="0.2"/>
  <cols>
    <col min="1" max="1" width="5.85546875" style="1" customWidth="1"/>
    <col min="2" max="2" width="13" style="1" bestFit="1" customWidth="1"/>
    <col min="3" max="3" width="12.7109375" style="1" customWidth="1"/>
    <col min="4" max="4" width="11.8554687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85546875" style="1" customWidth="1"/>
    <col min="13" max="13" width="8.85546875" style="1" customWidth="1"/>
    <col min="14" max="14" width="13.28515625" style="1" customWidth="1"/>
    <col min="15" max="15" width="11.42578125" style="1" customWidth="1"/>
    <col min="16" max="16" width="4.42578125" style="1" customWidth="1"/>
    <col min="17" max="21" width="9.140625" style="1"/>
    <col min="22" max="22" width="10.42578125" style="1" customWidth="1"/>
    <col min="23" max="27" width="9.140625" style="1"/>
    <col min="28" max="28" width="10.140625" style="1" bestFit="1" customWidth="1"/>
    <col min="29" max="49" width="9.140625" style="1"/>
    <col min="50" max="50" width="10.140625" style="1" bestFit="1" customWidth="1"/>
    <col min="51" max="51" width="10.140625" style="1" customWidth="1"/>
    <col min="52" max="52" width="11.42578125" style="1" bestFit="1" customWidth="1"/>
    <col min="53" max="53" width="9.140625" style="1"/>
    <col min="54" max="54" width="12.28515625" style="1" bestFit="1" customWidth="1"/>
    <col min="55" max="16384" width="9.140625" style="1"/>
  </cols>
  <sheetData>
    <row r="1" spans="1:82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10"/>
      <c r="AW1" s="9"/>
      <c r="AX1" s="9"/>
      <c r="AY1" s="9"/>
      <c r="AZ1" s="9"/>
      <c r="BA1" s="9"/>
      <c r="BB1" s="9"/>
    </row>
    <row r="2" spans="1:82" ht="23.25" thickBot="1" x14ac:dyDescent="0.25">
      <c r="A2" s="22"/>
      <c r="B2" s="14"/>
      <c r="C2" s="14"/>
      <c r="D2" s="15" t="s">
        <v>195</v>
      </c>
      <c r="E2" s="15">
        <v>2002</v>
      </c>
      <c r="F2" s="15">
        <v>2005</v>
      </c>
      <c r="G2" s="15">
        <v>2010</v>
      </c>
      <c r="H2" s="15">
        <v>2015</v>
      </c>
      <c r="I2" s="15"/>
      <c r="J2" s="15"/>
      <c r="K2" s="15"/>
      <c r="L2" s="15"/>
      <c r="M2" s="18" t="s">
        <v>91</v>
      </c>
      <c r="N2" s="19" t="s">
        <v>92</v>
      </c>
      <c r="O2" s="16"/>
    </row>
    <row r="3" spans="1:82" s="3" customFormat="1" ht="14.25" thickTop="1" thickBot="1" x14ac:dyDescent="0.25">
      <c r="A3" s="32"/>
      <c r="B3" s="33"/>
      <c r="C3" s="33" t="s">
        <v>108</v>
      </c>
      <c r="D3" s="34"/>
      <c r="E3" s="35"/>
      <c r="F3" s="35"/>
      <c r="G3" s="35"/>
      <c r="H3" s="35"/>
      <c r="I3" s="28"/>
      <c r="J3" s="28"/>
      <c r="K3" s="28"/>
      <c r="L3" s="28"/>
      <c r="M3" s="28"/>
      <c r="N3" s="36"/>
      <c r="O3" s="2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s="3" customFormat="1" ht="38.25" x14ac:dyDescent="0.2">
      <c r="A4" s="39">
        <f>IF(B4="","",1)</f>
        <v>1</v>
      </c>
      <c r="B4" s="122" t="s">
        <v>261</v>
      </c>
      <c r="C4" s="123" t="s">
        <v>262</v>
      </c>
      <c r="D4" s="123"/>
      <c r="E4" s="63">
        <v>103</v>
      </c>
      <c r="F4" s="64">
        <v>97</v>
      </c>
      <c r="G4" s="64">
        <v>91</v>
      </c>
      <c r="H4" s="64">
        <v>114</v>
      </c>
      <c r="I4" s="41" t="s">
        <v>93</v>
      </c>
      <c r="J4" s="100" t="s">
        <v>267</v>
      </c>
      <c r="K4" s="101" t="s">
        <v>157</v>
      </c>
      <c r="L4" s="101" t="s">
        <v>224</v>
      </c>
      <c r="M4" s="40"/>
      <c r="N4" s="42">
        <v>9.8379999999999992</v>
      </c>
      <c r="O4" s="68">
        <f>N4*1000/H4</f>
        <v>86.298245614035082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82" s="3" customFormat="1" ht="38.25" x14ac:dyDescent="0.2">
      <c r="A5" s="23">
        <f>IF(B5="",A4,A4+1)</f>
        <v>2</v>
      </c>
      <c r="B5" s="108" t="s">
        <v>261</v>
      </c>
      <c r="C5" s="108" t="s">
        <v>262</v>
      </c>
      <c r="D5" s="108"/>
      <c r="E5" s="60">
        <v>103</v>
      </c>
      <c r="F5" s="61">
        <v>97</v>
      </c>
      <c r="G5" s="61">
        <v>91</v>
      </c>
      <c r="H5" s="61">
        <v>114</v>
      </c>
      <c r="I5" s="27" t="s">
        <v>153</v>
      </c>
      <c r="J5" s="124" t="s">
        <v>266</v>
      </c>
      <c r="K5" s="125" t="s">
        <v>54</v>
      </c>
      <c r="L5" s="126" t="s">
        <v>224</v>
      </c>
      <c r="M5" s="24"/>
      <c r="N5" s="29"/>
      <c r="O5" s="2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 ht="26.25" thickBot="1" x14ac:dyDescent="0.25">
      <c r="A6" s="69">
        <v>3</v>
      </c>
      <c r="B6" s="113" t="s">
        <v>264</v>
      </c>
      <c r="C6" s="114" t="s">
        <v>263</v>
      </c>
      <c r="D6" s="79"/>
      <c r="E6" s="80">
        <v>109</v>
      </c>
      <c r="F6" s="70">
        <v>98</v>
      </c>
      <c r="G6" s="70">
        <v>85</v>
      </c>
      <c r="H6" s="70">
        <v>72</v>
      </c>
      <c r="I6" s="72" t="s">
        <v>93</v>
      </c>
      <c r="J6" s="115" t="s">
        <v>265</v>
      </c>
      <c r="K6" s="127" t="s">
        <v>157</v>
      </c>
      <c r="L6" s="127" t="s">
        <v>158</v>
      </c>
      <c r="M6" s="71"/>
      <c r="N6" s="77">
        <v>0.51200000000000001</v>
      </c>
      <c r="O6" s="76">
        <f>N6*1000/H6</f>
        <v>7.1111111111111107</v>
      </c>
    </row>
    <row r="7" spans="1:82" x14ac:dyDescent="0.2">
      <c r="E7" s="1"/>
      <c r="F7" s="1"/>
      <c r="G7" s="1"/>
      <c r="H7" s="1"/>
    </row>
    <row r="8" spans="1:82" x14ac:dyDescent="0.2">
      <c r="E8" s="1"/>
      <c r="F8" s="1"/>
      <c r="G8" s="1"/>
      <c r="H8" s="1"/>
    </row>
    <row r="9" spans="1:82" x14ac:dyDescent="0.2">
      <c r="E9" s="1"/>
      <c r="F9" s="1"/>
      <c r="G9" s="1"/>
      <c r="H9" s="1"/>
    </row>
    <row r="10" spans="1:82" x14ac:dyDescent="0.2">
      <c r="E10" s="1"/>
      <c r="F10" s="1"/>
      <c r="G10" s="1"/>
      <c r="H10" s="1"/>
    </row>
    <row r="11" spans="1:82" x14ac:dyDescent="0.2">
      <c r="E11" s="1"/>
      <c r="F11" s="1"/>
      <c r="G11" s="1"/>
      <c r="H11" s="1"/>
    </row>
    <row r="12" spans="1:82" x14ac:dyDescent="0.2">
      <c r="E12" s="1"/>
      <c r="F12" s="1"/>
      <c r="G12" s="1"/>
      <c r="H12" s="1"/>
    </row>
    <row r="13" spans="1:82" x14ac:dyDescent="0.2">
      <c r="E13" s="1"/>
      <c r="F13" s="1"/>
      <c r="G13" s="1"/>
      <c r="H13" s="1"/>
    </row>
    <row r="14" spans="1:82" x14ac:dyDescent="0.2">
      <c r="E14" s="1"/>
      <c r="F14" s="1"/>
      <c r="G14" s="1"/>
      <c r="H14" s="1"/>
    </row>
    <row r="15" spans="1:82" x14ac:dyDescent="0.2">
      <c r="E15" s="1"/>
      <c r="F15" s="1"/>
      <c r="G15" s="1"/>
      <c r="H15" s="1"/>
    </row>
    <row r="16" spans="1:82" x14ac:dyDescent="0.2">
      <c r="E16" s="1"/>
      <c r="F16" s="1"/>
      <c r="G16" s="1"/>
      <c r="H16" s="1"/>
    </row>
    <row r="17" spans="5:8" x14ac:dyDescent="0.2">
      <c r="E17" s="1"/>
      <c r="F17" s="1"/>
      <c r="G17" s="1"/>
      <c r="H17" s="1"/>
    </row>
    <row r="18" spans="5:8" x14ac:dyDescent="0.2">
      <c r="E18" s="1"/>
      <c r="F18" s="1"/>
      <c r="G18" s="1"/>
      <c r="H18" s="1"/>
    </row>
    <row r="19" spans="5:8" x14ac:dyDescent="0.2">
      <c r="E19" s="1"/>
      <c r="F19" s="1"/>
      <c r="G19" s="1"/>
      <c r="H19" s="1"/>
    </row>
    <row r="20" spans="5:8" x14ac:dyDescent="0.2">
      <c r="E20" s="1"/>
      <c r="F20" s="1"/>
      <c r="G20" s="1"/>
      <c r="H20" s="1"/>
    </row>
    <row r="21" spans="5:8" x14ac:dyDescent="0.2">
      <c r="E21" s="1"/>
      <c r="F21" s="1"/>
      <c r="G21" s="1"/>
      <c r="H21" s="1"/>
    </row>
    <row r="22" spans="5:8" x14ac:dyDescent="0.2">
      <c r="E22" s="1"/>
      <c r="F22" s="1"/>
      <c r="G22" s="1"/>
      <c r="H22" s="1"/>
    </row>
    <row r="23" spans="5:8" x14ac:dyDescent="0.2">
      <c r="E23" s="1"/>
      <c r="F23" s="1"/>
      <c r="G23" s="1"/>
      <c r="H23" s="1"/>
    </row>
    <row r="24" spans="5:8" x14ac:dyDescent="0.2">
      <c r="E24" s="1"/>
      <c r="F24" s="1"/>
      <c r="G24" s="1"/>
      <c r="H24" s="1"/>
    </row>
    <row r="25" spans="5:8" x14ac:dyDescent="0.2">
      <c r="E25" s="1"/>
      <c r="F25" s="1"/>
      <c r="G25" s="1"/>
      <c r="H25" s="1"/>
    </row>
    <row r="26" spans="5:8" x14ac:dyDescent="0.2">
      <c r="E26" s="1"/>
      <c r="F26" s="1"/>
      <c r="G26" s="1"/>
      <c r="H26" s="1"/>
    </row>
    <row r="27" spans="5:8" x14ac:dyDescent="0.2">
      <c r="E27" s="1"/>
      <c r="F27" s="1"/>
      <c r="G27" s="1"/>
      <c r="H27" s="1"/>
    </row>
    <row r="28" spans="5:8" x14ac:dyDescent="0.2">
      <c r="E28" s="1"/>
      <c r="F28" s="1"/>
      <c r="G28" s="1"/>
      <c r="H28" s="1"/>
    </row>
    <row r="29" spans="5:8" x14ac:dyDescent="0.2">
      <c r="E29" s="1"/>
      <c r="F29" s="1"/>
      <c r="G29" s="1"/>
      <c r="H29" s="1"/>
    </row>
    <row r="30" spans="5:8" x14ac:dyDescent="0.2">
      <c r="E30" s="1"/>
      <c r="F30" s="1"/>
      <c r="G30" s="1"/>
      <c r="H30" s="1"/>
    </row>
    <row r="31" spans="5:8" x14ac:dyDescent="0.2">
      <c r="E31" s="1"/>
      <c r="F31" s="1"/>
      <c r="G31" s="1"/>
      <c r="H31" s="1"/>
    </row>
    <row r="32" spans="5:8" x14ac:dyDescent="0.2">
      <c r="E32" s="1"/>
      <c r="F32" s="1"/>
      <c r="G32" s="1"/>
      <c r="H32" s="1"/>
    </row>
    <row r="33" spans="5:8" x14ac:dyDescent="0.2">
      <c r="E33" s="1"/>
      <c r="F33" s="1"/>
      <c r="G33" s="1"/>
      <c r="H33" s="1"/>
    </row>
    <row r="34" spans="5:8" x14ac:dyDescent="0.2">
      <c r="E34" s="1"/>
      <c r="F34" s="1"/>
      <c r="G34" s="1"/>
      <c r="H34" s="1"/>
    </row>
    <row r="35" spans="5:8" x14ac:dyDescent="0.2">
      <c r="E35" s="1"/>
      <c r="F35" s="1"/>
      <c r="G35" s="1"/>
      <c r="H35" s="1"/>
    </row>
    <row r="36" spans="5:8" x14ac:dyDescent="0.2">
      <c r="E36" s="1"/>
      <c r="F36" s="1"/>
      <c r="G36" s="1"/>
      <c r="H36" s="1"/>
    </row>
    <row r="37" spans="5:8" x14ac:dyDescent="0.2">
      <c r="E37" s="1"/>
      <c r="F37" s="1"/>
      <c r="G37" s="1"/>
      <c r="H37" s="1"/>
    </row>
    <row r="38" spans="5:8" x14ac:dyDescent="0.2">
      <c r="E38" s="1"/>
      <c r="F38" s="1"/>
      <c r="G38" s="1"/>
      <c r="H38" s="1"/>
    </row>
    <row r="39" spans="5:8" x14ac:dyDescent="0.2">
      <c r="E39" s="1"/>
      <c r="F39" s="1"/>
      <c r="G39" s="1"/>
      <c r="H39" s="1"/>
    </row>
    <row r="40" spans="5:8" x14ac:dyDescent="0.2">
      <c r="E40" s="1"/>
      <c r="F40" s="1"/>
      <c r="G40" s="1"/>
      <c r="H40" s="1"/>
    </row>
    <row r="41" spans="5:8" x14ac:dyDescent="0.2">
      <c r="E41" s="1"/>
      <c r="F41" s="1"/>
      <c r="G41" s="1"/>
      <c r="H41" s="1"/>
    </row>
    <row r="42" spans="5:8" x14ac:dyDescent="0.2">
      <c r="E42" s="1"/>
      <c r="F42" s="1"/>
      <c r="G42" s="1"/>
      <c r="H42" s="1"/>
    </row>
    <row r="43" spans="5:8" x14ac:dyDescent="0.2">
      <c r="E43" s="1"/>
      <c r="F43" s="1"/>
      <c r="G43" s="1"/>
      <c r="H43" s="1"/>
    </row>
    <row r="44" spans="5:8" x14ac:dyDescent="0.2">
      <c r="E44" s="1"/>
      <c r="F44" s="1"/>
      <c r="G44" s="1"/>
      <c r="H44" s="1"/>
    </row>
    <row r="45" spans="5:8" x14ac:dyDescent="0.2">
      <c r="E45" s="1"/>
      <c r="F45" s="1"/>
      <c r="G45" s="1"/>
      <c r="H45" s="1"/>
    </row>
    <row r="46" spans="5:8" x14ac:dyDescent="0.2">
      <c r="E46" s="1"/>
      <c r="F46" s="1"/>
      <c r="G46" s="1"/>
      <c r="H46" s="1"/>
    </row>
    <row r="47" spans="5:8" x14ac:dyDescent="0.2">
      <c r="E47" s="1"/>
      <c r="F47" s="1"/>
      <c r="G47" s="1"/>
      <c r="H47" s="1"/>
    </row>
    <row r="48" spans="5:8" x14ac:dyDescent="0.2">
      <c r="E48" s="1"/>
      <c r="F48" s="1"/>
      <c r="G48" s="1"/>
      <c r="H48" s="1"/>
    </row>
    <row r="49" spans="5:8" x14ac:dyDescent="0.2">
      <c r="E49" s="1"/>
      <c r="F49" s="1"/>
      <c r="G49" s="1"/>
      <c r="H49" s="1"/>
    </row>
    <row r="50" spans="5:8" x14ac:dyDescent="0.2">
      <c r="E50" s="1"/>
      <c r="F50" s="1"/>
      <c r="G50" s="1"/>
      <c r="H50" s="1"/>
    </row>
    <row r="51" spans="5:8" x14ac:dyDescent="0.2">
      <c r="E51" s="1"/>
      <c r="F51" s="1"/>
      <c r="G51" s="1"/>
      <c r="H51" s="1"/>
    </row>
    <row r="52" spans="5:8" x14ac:dyDescent="0.2">
      <c r="E52" s="1"/>
      <c r="F52" s="1"/>
      <c r="G52" s="1"/>
      <c r="H52" s="1"/>
    </row>
    <row r="53" spans="5:8" x14ac:dyDescent="0.2">
      <c r="E53" s="1"/>
      <c r="F53" s="1"/>
      <c r="G53" s="1"/>
      <c r="H53" s="1"/>
    </row>
    <row r="54" spans="5:8" x14ac:dyDescent="0.2">
      <c r="E54" s="1"/>
      <c r="F54" s="1"/>
      <c r="G54" s="1"/>
      <c r="H54" s="1"/>
    </row>
    <row r="55" spans="5:8" x14ac:dyDescent="0.2">
      <c r="E55" s="1"/>
      <c r="F55" s="1"/>
      <c r="G55" s="1"/>
      <c r="H55" s="1"/>
    </row>
    <row r="56" spans="5:8" x14ac:dyDescent="0.2">
      <c r="E56" s="1"/>
      <c r="F56" s="1"/>
      <c r="G56" s="1"/>
      <c r="H56" s="1"/>
    </row>
    <row r="57" spans="5:8" x14ac:dyDescent="0.2">
      <c r="E57" s="1"/>
      <c r="F57" s="1"/>
      <c r="G57" s="1"/>
      <c r="H57" s="1"/>
    </row>
    <row r="58" spans="5:8" x14ac:dyDescent="0.2">
      <c r="E58" s="1"/>
      <c r="F58" s="1"/>
      <c r="G58" s="1"/>
      <c r="H58" s="1"/>
    </row>
    <row r="59" spans="5:8" x14ac:dyDescent="0.2">
      <c r="E59" s="1"/>
      <c r="F59" s="1"/>
      <c r="G59" s="1"/>
      <c r="H59" s="1"/>
    </row>
    <row r="60" spans="5:8" x14ac:dyDescent="0.2">
      <c r="E60" s="1"/>
      <c r="F60" s="1"/>
      <c r="G60" s="1"/>
      <c r="H60" s="1"/>
    </row>
    <row r="61" spans="5:8" x14ac:dyDescent="0.2">
      <c r="E61" s="1"/>
      <c r="F61" s="1"/>
      <c r="G61" s="1"/>
      <c r="H61" s="1"/>
    </row>
    <row r="62" spans="5:8" x14ac:dyDescent="0.2">
      <c r="E62" s="1"/>
      <c r="F62" s="1"/>
      <c r="G62" s="1"/>
      <c r="H62" s="1"/>
    </row>
    <row r="63" spans="5:8" x14ac:dyDescent="0.2">
      <c r="E63" s="1"/>
      <c r="F63" s="1"/>
      <c r="G63" s="1"/>
      <c r="H63" s="1"/>
    </row>
    <row r="64" spans="5:8" x14ac:dyDescent="0.2">
      <c r="E64" s="1"/>
      <c r="F64" s="1"/>
      <c r="G64" s="1"/>
      <c r="H64" s="1"/>
    </row>
    <row r="65" spans="5:8" x14ac:dyDescent="0.2">
      <c r="E65" s="1"/>
      <c r="F65" s="1"/>
      <c r="G65" s="1"/>
      <c r="H65" s="1"/>
    </row>
    <row r="66" spans="5:8" x14ac:dyDescent="0.2">
      <c r="E66" s="1"/>
      <c r="F66" s="1"/>
      <c r="G66" s="1"/>
      <c r="H66" s="1"/>
    </row>
    <row r="67" spans="5:8" x14ac:dyDescent="0.2">
      <c r="E67" s="1"/>
      <c r="F67" s="1"/>
      <c r="G67" s="1"/>
      <c r="H67" s="1"/>
    </row>
    <row r="68" spans="5:8" x14ac:dyDescent="0.2">
      <c r="E68" s="1"/>
      <c r="F68" s="1"/>
      <c r="G68" s="1"/>
      <c r="H68" s="1"/>
    </row>
    <row r="69" spans="5:8" x14ac:dyDescent="0.2">
      <c r="E69" s="1"/>
      <c r="F69" s="1"/>
      <c r="G69" s="1"/>
      <c r="H69" s="1"/>
    </row>
    <row r="70" spans="5:8" x14ac:dyDescent="0.2">
      <c r="E70" s="1"/>
      <c r="F70" s="1"/>
      <c r="G70" s="1"/>
      <c r="H70" s="1"/>
    </row>
    <row r="71" spans="5:8" x14ac:dyDescent="0.2">
      <c r="E71" s="1"/>
      <c r="F71" s="1"/>
      <c r="G71" s="1"/>
      <c r="H71" s="1"/>
    </row>
    <row r="72" spans="5:8" x14ac:dyDescent="0.2">
      <c r="E72" s="1"/>
      <c r="F72" s="1"/>
      <c r="G72" s="1"/>
      <c r="H72" s="1"/>
    </row>
    <row r="73" spans="5:8" x14ac:dyDescent="0.2">
      <c r="E73" s="1"/>
      <c r="F73" s="1"/>
      <c r="G73" s="1"/>
      <c r="H73" s="1"/>
    </row>
    <row r="74" spans="5:8" x14ac:dyDescent="0.2">
      <c r="E74" s="1"/>
      <c r="F74" s="1"/>
      <c r="G74" s="1"/>
      <c r="H74" s="1"/>
    </row>
    <row r="75" spans="5:8" x14ac:dyDescent="0.2">
      <c r="E75" s="1"/>
      <c r="F75" s="1"/>
      <c r="G75" s="1"/>
      <c r="H75" s="1"/>
    </row>
    <row r="76" spans="5:8" x14ac:dyDescent="0.2">
      <c r="E76" s="1"/>
      <c r="F76" s="1"/>
      <c r="G76" s="1"/>
      <c r="H76" s="1"/>
    </row>
    <row r="77" spans="5:8" x14ac:dyDescent="0.2">
      <c r="E77" s="1"/>
      <c r="F77" s="1"/>
      <c r="G77" s="1"/>
      <c r="H77" s="1"/>
    </row>
    <row r="78" spans="5:8" x14ac:dyDescent="0.2">
      <c r="E78" s="1"/>
      <c r="F78" s="1"/>
      <c r="G78" s="1"/>
      <c r="H78" s="1"/>
    </row>
    <row r="79" spans="5:8" x14ac:dyDescent="0.2">
      <c r="E79" s="1"/>
      <c r="F79" s="1"/>
      <c r="G79" s="1"/>
      <c r="H79" s="1"/>
    </row>
    <row r="80" spans="5:8" x14ac:dyDescent="0.2">
      <c r="E80" s="1"/>
      <c r="F80" s="1"/>
      <c r="G80" s="1"/>
      <c r="H80" s="1"/>
    </row>
    <row r="81" spans="5:8" x14ac:dyDescent="0.2">
      <c r="E81" s="1"/>
      <c r="F81" s="1"/>
      <c r="G81" s="1"/>
      <c r="H81" s="1"/>
    </row>
    <row r="82" spans="5:8" x14ac:dyDescent="0.2">
      <c r="E82" s="1"/>
      <c r="F82" s="1"/>
      <c r="G82" s="1"/>
      <c r="H82" s="1"/>
    </row>
    <row r="83" spans="5:8" x14ac:dyDescent="0.2">
      <c r="E83" s="1"/>
      <c r="F83" s="1"/>
      <c r="G83" s="1"/>
      <c r="H83" s="1"/>
    </row>
    <row r="84" spans="5:8" x14ac:dyDescent="0.2">
      <c r="E84" s="1"/>
      <c r="F84" s="1"/>
      <c r="G84" s="1"/>
      <c r="H84" s="1"/>
    </row>
    <row r="85" spans="5:8" x14ac:dyDescent="0.2">
      <c r="E85" s="1"/>
      <c r="F85" s="1"/>
      <c r="G85" s="1"/>
      <c r="H85" s="1"/>
    </row>
    <row r="86" spans="5:8" x14ac:dyDescent="0.2">
      <c r="E86" s="1"/>
      <c r="F86" s="1"/>
      <c r="G86" s="1"/>
      <c r="H86" s="1"/>
    </row>
    <row r="87" spans="5:8" x14ac:dyDescent="0.2">
      <c r="E87" s="1"/>
      <c r="F87" s="1"/>
      <c r="G87" s="1"/>
      <c r="H87" s="1"/>
    </row>
    <row r="88" spans="5:8" x14ac:dyDescent="0.2">
      <c r="E88" s="1"/>
      <c r="F88" s="1"/>
      <c r="G88" s="1"/>
      <c r="H88" s="1"/>
    </row>
    <row r="89" spans="5:8" x14ac:dyDescent="0.2">
      <c r="E89" s="1"/>
      <c r="F89" s="1"/>
      <c r="G89" s="1"/>
      <c r="H89" s="1"/>
    </row>
    <row r="90" spans="5:8" x14ac:dyDescent="0.2">
      <c r="E90" s="1"/>
      <c r="F90" s="1"/>
      <c r="G90" s="1"/>
      <c r="H90" s="1"/>
    </row>
    <row r="91" spans="5:8" x14ac:dyDescent="0.2">
      <c r="E91" s="1"/>
      <c r="F91" s="1"/>
      <c r="G91" s="1"/>
      <c r="H91" s="1"/>
    </row>
    <row r="92" spans="5:8" x14ac:dyDescent="0.2">
      <c r="E92" s="1"/>
      <c r="F92" s="1"/>
      <c r="G92" s="1"/>
      <c r="H92" s="1"/>
    </row>
    <row r="93" spans="5:8" x14ac:dyDescent="0.2">
      <c r="E93" s="1"/>
      <c r="F93" s="1"/>
      <c r="G93" s="1"/>
      <c r="H93" s="1"/>
    </row>
    <row r="94" spans="5:8" x14ac:dyDescent="0.2">
      <c r="E94" s="1"/>
      <c r="F94" s="1"/>
      <c r="G94" s="1"/>
      <c r="H94" s="1"/>
    </row>
    <row r="95" spans="5:8" x14ac:dyDescent="0.2">
      <c r="E95" s="1"/>
      <c r="F95" s="1"/>
      <c r="G95" s="1"/>
      <c r="H95" s="1"/>
    </row>
    <row r="96" spans="5:8" x14ac:dyDescent="0.2">
      <c r="E96" s="1"/>
      <c r="F96" s="1"/>
      <c r="G96" s="1"/>
      <c r="H96" s="1"/>
    </row>
    <row r="97" spans="5:8" x14ac:dyDescent="0.2">
      <c r="E97" s="1"/>
      <c r="F97" s="1"/>
      <c r="G97" s="1"/>
      <c r="H97" s="1"/>
    </row>
    <row r="98" spans="5:8" x14ac:dyDescent="0.2">
      <c r="E98" s="1"/>
      <c r="F98" s="1"/>
      <c r="G98" s="1"/>
      <c r="H98" s="1"/>
    </row>
    <row r="99" spans="5:8" x14ac:dyDescent="0.2">
      <c r="E99" s="1"/>
      <c r="F99" s="1"/>
      <c r="G99" s="1"/>
      <c r="H99" s="1"/>
    </row>
    <row r="100" spans="5:8" x14ac:dyDescent="0.2">
      <c r="E100" s="1"/>
      <c r="F100" s="1"/>
      <c r="G100" s="1"/>
      <c r="H100" s="1"/>
    </row>
    <row r="101" spans="5:8" x14ac:dyDescent="0.2">
      <c r="E101" s="1"/>
      <c r="F101" s="1"/>
      <c r="G101" s="1"/>
      <c r="H101" s="1"/>
    </row>
    <row r="102" spans="5:8" x14ac:dyDescent="0.2">
      <c r="E102" s="1"/>
      <c r="F102" s="1"/>
      <c r="G102" s="1"/>
      <c r="H102" s="1"/>
    </row>
    <row r="103" spans="5:8" x14ac:dyDescent="0.2">
      <c r="E103" s="1"/>
      <c r="F103" s="1"/>
      <c r="G103" s="1"/>
      <c r="H103" s="1"/>
    </row>
    <row r="104" spans="5:8" x14ac:dyDescent="0.2">
      <c r="E104" s="1"/>
      <c r="F104" s="1"/>
      <c r="G104" s="1"/>
      <c r="H104" s="1"/>
    </row>
    <row r="105" spans="5:8" x14ac:dyDescent="0.2">
      <c r="E105" s="1"/>
      <c r="F105" s="1"/>
      <c r="G105" s="1"/>
      <c r="H105" s="1"/>
    </row>
    <row r="106" spans="5:8" x14ac:dyDescent="0.2">
      <c r="E106" s="1"/>
      <c r="F106" s="1"/>
      <c r="G106" s="1"/>
      <c r="H106" s="1"/>
    </row>
    <row r="107" spans="5:8" x14ac:dyDescent="0.2">
      <c r="E107" s="1"/>
      <c r="F107" s="1"/>
      <c r="G107" s="1"/>
      <c r="H107" s="1"/>
    </row>
    <row r="108" spans="5:8" x14ac:dyDescent="0.2">
      <c r="E108" s="1"/>
      <c r="F108" s="1"/>
      <c r="G108" s="1"/>
      <c r="H108" s="1"/>
    </row>
    <row r="109" spans="5:8" x14ac:dyDescent="0.2">
      <c r="E109" s="1"/>
      <c r="F109" s="1"/>
      <c r="G109" s="1"/>
      <c r="H109" s="1"/>
    </row>
    <row r="110" spans="5:8" x14ac:dyDescent="0.2">
      <c r="E110" s="1"/>
      <c r="F110" s="1"/>
      <c r="G110" s="1"/>
      <c r="H110" s="1"/>
    </row>
    <row r="111" spans="5:8" x14ac:dyDescent="0.2">
      <c r="E111" s="1"/>
      <c r="F111" s="1"/>
      <c r="G111" s="1"/>
      <c r="H111" s="1"/>
    </row>
    <row r="112" spans="5:8" x14ac:dyDescent="0.2">
      <c r="E112" s="1"/>
      <c r="F112" s="1"/>
      <c r="G112" s="1"/>
      <c r="H112" s="1"/>
    </row>
    <row r="113" spans="5:8" x14ac:dyDescent="0.2">
      <c r="E113" s="1"/>
      <c r="F113" s="1"/>
      <c r="G113" s="1"/>
      <c r="H113" s="1"/>
    </row>
    <row r="114" spans="5:8" x14ac:dyDescent="0.2">
      <c r="E114" s="1"/>
      <c r="F114" s="1"/>
      <c r="G114" s="1"/>
      <c r="H114" s="1"/>
    </row>
    <row r="115" spans="5:8" x14ac:dyDescent="0.2">
      <c r="E115" s="1"/>
      <c r="F115" s="1"/>
      <c r="G115" s="1"/>
      <c r="H115" s="1"/>
    </row>
    <row r="116" spans="5:8" x14ac:dyDescent="0.2">
      <c r="E116" s="1"/>
      <c r="F116" s="1"/>
      <c r="G116" s="1"/>
      <c r="H116" s="1"/>
    </row>
    <row r="117" spans="5:8" x14ac:dyDescent="0.2">
      <c r="E117" s="1"/>
      <c r="F117" s="1"/>
      <c r="G117" s="1"/>
      <c r="H117" s="1"/>
    </row>
    <row r="118" spans="5:8" x14ac:dyDescent="0.2">
      <c r="E118" s="1"/>
      <c r="F118" s="1"/>
      <c r="G118" s="1"/>
      <c r="H118" s="1"/>
    </row>
    <row r="119" spans="5:8" x14ac:dyDescent="0.2">
      <c r="E119" s="1"/>
      <c r="F119" s="1"/>
      <c r="G119" s="1"/>
      <c r="H119" s="1"/>
    </row>
    <row r="120" spans="5:8" x14ac:dyDescent="0.2">
      <c r="E120" s="1"/>
      <c r="F120" s="1"/>
      <c r="G120" s="1"/>
      <c r="H120" s="1"/>
    </row>
    <row r="121" spans="5:8" x14ac:dyDescent="0.2">
      <c r="E121" s="1"/>
      <c r="F121" s="1"/>
      <c r="G121" s="1"/>
      <c r="H121" s="1"/>
    </row>
    <row r="122" spans="5:8" x14ac:dyDescent="0.2">
      <c r="E122" s="1"/>
      <c r="F122" s="1"/>
      <c r="G122" s="1"/>
      <c r="H122" s="1"/>
    </row>
    <row r="123" spans="5:8" x14ac:dyDescent="0.2">
      <c r="E123" s="1"/>
      <c r="F123" s="1"/>
      <c r="G123" s="1"/>
      <c r="H123" s="1"/>
    </row>
    <row r="124" spans="5:8" x14ac:dyDescent="0.2">
      <c r="E124" s="1"/>
      <c r="F124" s="1"/>
      <c r="G124" s="1"/>
      <c r="H124" s="1"/>
    </row>
    <row r="125" spans="5:8" x14ac:dyDescent="0.2">
      <c r="E125" s="1"/>
      <c r="F125" s="1"/>
      <c r="G125" s="1"/>
      <c r="H125" s="1"/>
    </row>
    <row r="126" spans="5:8" x14ac:dyDescent="0.2">
      <c r="E126" s="1"/>
      <c r="F126" s="1"/>
      <c r="G126" s="1"/>
      <c r="H126" s="1"/>
    </row>
    <row r="127" spans="5:8" x14ac:dyDescent="0.2">
      <c r="E127" s="1"/>
      <c r="F127" s="1"/>
      <c r="G127" s="1"/>
      <c r="H127" s="1"/>
    </row>
    <row r="128" spans="5:8" x14ac:dyDescent="0.2">
      <c r="E128" s="1"/>
      <c r="F128" s="1"/>
      <c r="G128" s="1"/>
      <c r="H128" s="1"/>
    </row>
    <row r="129" spans="5:8" x14ac:dyDescent="0.2">
      <c r="E129" s="1"/>
      <c r="F129" s="1"/>
      <c r="G129" s="1"/>
      <c r="H129" s="1"/>
    </row>
    <row r="130" spans="5:8" x14ac:dyDescent="0.2">
      <c r="E130" s="1"/>
      <c r="F130" s="1"/>
      <c r="G130" s="1"/>
      <c r="H130" s="1"/>
    </row>
    <row r="131" spans="5:8" x14ac:dyDescent="0.2">
      <c r="E131" s="1"/>
      <c r="F131" s="1"/>
      <c r="G131" s="1"/>
      <c r="H131" s="1"/>
    </row>
    <row r="132" spans="5:8" x14ac:dyDescent="0.2">
      <c r="E132" s="1"/>
      <c r="F132" s="1"/>
      <c r="G132" s="1"/>
      <c r="H132" s="1"/>
    </row>
    <row r="133" spans="5:8" x14ac:dyDescent="0.2">
      <c r="E133" s="1"/>
      <c r="F133" s="1"/>
      <c r="G133" s="1"/>
      <c r="H133" s="1"/>
    </row>
    <row r="134" spans="5:8" x14ac:dyDescent="0.2">
      <c r="E134" s="1"/>
      <c r="F134" s="1"/>
      <c r="G134" s="1"/>
      <c r="H134" s="1"/>
    </row>
    <row r="135" spans="5:8" x14ac:dyDescent="0.2">
      <c r="E135" s="1"/>
      <c r="F135" s="1"/>
      <c r="G135" s="1"/>
      <c r="H135" s="1"/>
    </row>
    <row r="136" spans="5:8" x14ac:dyDescent="0.2">
      <c r="E136" s="1"/>
      <c r="F136" s="1"/>
      <c r="G136" s="1"/>
      <c r="H136" s="1"/>
    </row>
    <row r="137" spans="5:8" x14ac:dyDescent="0.2">
      <c r="E137" s="1"/>
      <c r="F137" s="1"/>
      <c r="G137" s="1"/>
      <c r="H137" s="1"/>
    </row>
    <row r="138" spans="5:8" x14ac:dyDescent="0.2">
      <c r="E138" s="1"/>
      <c r="F138" s="1"/>
      <c r="G138" s="1"/>
      <c r="H138" s="1"/>
    </row>
    <row r="139" spans="5:8" x14ac:dyDescent="0.2">
      <c r="E139" s="1"/>
      <c r="F139" s="1"/>
      <c r="G139" s="1"/>
      <c r="H139" s="1"/>
    </row>
    <row r="140" spans="5:8" x14ac:dyDescent="0.2">
      <c r="E140" s="1"/>
      <c r="F140" s="1"/>
      <c r="G140" s="1"/>
      <c r="H140" s="1"/>
    </row>
    <row r="141" spans="5:8" x14ac:dyDescent="0.2">
      <c r="E141" s="1"/>
      <c r="F141" s="1"/>
      <c r="G141" s="1"/>
      <c r="H141" s="1"/>
    </row>
    <row r="142" spans="5:8" x14ac:dyDescent="0.2">
      <c r="E142" s="1"/>
      <c r="F142" s="1"/>
      <c r="G142" s="1"/>
      <c r="H142" s="1"/>
    </row>
    <row r="143" spans="5:8" x14ac:dyDescent="0.2">
      <c r="E143" s="1"/>
      <c r="F143" s="1"/>
      <c r="G143" s="1"/>
      <c r="H143" s="1"/>
    </row>
    <row r="144" spans="5:8" x14ac:dyDescent="0.2">
      <c r="E144" s="1"/>
      <c r="F144" s="1"/>
      <c r="G144" s="1"/>
      <c r="H144" s="1"/>
    </row>
    <row r="145" spans="5:8" x14ac:dyDescent="0.2">
      <c r="E145" s="1"/>
      <c r="F145" s="1"/>
      <c r="G145" s="1"/>
      <c r="H145" s="1"/>
    </row>
    <row r="146" spans="5:8" x14ac:dyDescent="0.2">
      <c r="E146" s="1"/>
      <c r="F146" s="1"/>
      <c r="G146" s="1"/>
      <c r="H146" s="1"/>
    </row>
    <row r="147" spans="5:8" x14ac:dyDescent="0.2">
      <c r="E147" s="1"/>
      <c r="F147" s="1"/>
      <c r="G147" s="1"/>
      <c r="H147" s="1"/>
    </row>
    <row r="148" spans="5:8" x14ac:dyDescent="0.2">
      <c r="E148" s="1"/>
      <c r="F148" s="1"/>
      <c r="G148" s="1"/>
      <c r="H148" s="1"/>
    </row>
    <row r="149" spans="5:8" x14ac:dyDescent="0.2">
      <c r="E149" s="1"/>
      <c r="F149" s="1"/>
      <c r="G149" s="1"/>
      <c r="H149" s="1"/>
    </row>
    <row r="150" spans="5:8" x14ac:dyDescent="0.2">
      <c r="E150" s="1"/>
      <c r="F150" s="1"/>
      <c r="G150" s="1"/>
      <c r="H150" s="1"/>
    </row>
    <row r="151" spans="5:8" x14ac:dyDescent="0.2">
      <c r="E151" s="1"/>
      <c r="F151" s="1"/>
      <c r="G151" s="1"/>
      <c r="H151" s="1"/>
    </row>
    <row r="152" spans="5:8" x14ac:dyDescent="0.2">
      <c r="E152" s="1"/>
      <c r="F152" s="1"/>
      <c r="G152" s="1"/>
      <c r="H152" s="1"/>
    </row>
    <row r="153" spans="5:8" x14ac:dyDescent="0.2">
      <c r="E153" s="1"/>
      <c r="F153" s="1"/>
      <c r="G153" s="1"/>
      <c r="H153" s="1"/>
    </row>
    <row r="154" spans="5:8" x14ac:dyDescent="0.2">
      <c r="E154" s="1"/>
      <c r="F154" s="1"/>
      <c r="G154" s="1"/>
      <c r="H154" s="1"/>
    </row>
    <row r="155" spans="5:8" x14ac:dyDescent="0.2">
      <c r="E155" s="1"/>
      <c r="F155" s="1"/>
      <c r="G155" s="1"/>
      <c r="H155" s="1"/>
    </row>
    <row r="156" spans="5:8" x14ac:dyDescent="0.2">
      <c r="E156" s="1"/>
      <c r="F156" s="1"/>
      <c r="G156" s="1"/>
      <c r="H156" s="1"/>
    </row>
    <row r="157" spans="5:8" x14ac:dyDescent="0.2">
      <c r="E157" s="1"/>
      <c r="F157" s="1"/>
      <c r="G157" s="1"/>
      <c r="H157" s="1"/>
    </row>
    <row r="158" spans="5:8" x14ac:dyDescent="0.2">
      <c r="E158" s="1"/>
      <c r="F158" s="1"/>
      <c r="G158" s="1"/>
      <c r="H158" s="1"/>
    </row>
    <row r="159" spans="5:8" x14ac:dyDescent="0.2">
      <c r="E159" s="1"/>
      <c r="F159" s="1"/>
      <c r="G159" s="1"/>
      <c r="H159" s="1"/>
    </row>
    <row r="160" spans="5:8" x14ac:dyDescent="0.2">
      <c r="E160" s="1"/>
      <c r="F160" s="1"/>
      <c r="G160" s="1"/>
      <c r="H160" s="1"/>
    </row>
    <row r="161" spans="5:8" x14ac:dyDescent="0.2">
      <c r="E161" s="1"/>
      <c r="F161" s="1"/>
      <c r="G161" s="1"/>
      <c r="H161" s="1"/>
    </row>
    <row r="162" spans="5:8" x14ac:dyDescent="0.2">
      <c r="E162" s="1"/>
      <c r="F162" s="1"/>
      <c r="G162" s="1"/>
      <c r="H162" s="1"/>
    </row>
    <row r="163" spans="5:8" x14ac:dyDescent="0.2">
      <c r="E163" s="1"/>
      <c r="F163" s="1"/>
      <c r="G163" s="1"/>
      <c r="H163" s="1"/>
    </row>
    <row r="164" spans="5:8" x14ac:dyDescent="0.2">
      <c r="E164" s="1"/>
      <c r="F164" s="1"/>
      <c r="G164" s="1"/>
      <c r="H164" s="1"/>
    </row>
    <row r="165" spans="5:8" x14ac:dyDescent="0.2">
      <c r="E165" s="1"/>
      <c r="F165" s="1"/>
      <c r="G165" s="1"/>
      <c r="H165" s="1"/>
    </row>
    <row r="166" spans="5:8" x14ac:dyDescent="0.2">
      <c r="E166" s="1"/>
      <c r="F166" s="1"/>
      <c r="G166" s="1"/>
      <c r="H166" s="1"/>
    </row>
    <row r="167" spans="5:8" x14ac:dyDescent="0.2">
      <c r="E167" s="1"/>
      <c r="F167" s="1"/>
      <c r="G167" s="1"/>
      <c r="H167" s="1"/>
    </row>
    <row r="168" spans="5:8" x14ac:dyDescent="0.2">
      <c r="E168" s="1"/>
      <c r="F168" s="1"/>
      <c r="G168" s="1"/>
      <c r="H168" s="1"/>
    </row>
    <row r="169" spans="5:8" x14ac:dyDescent="0.2">
      <c r="E169" s="1"/>
      <c r="F169" s="1"/>
      <c r="G169" s="1"/>
      <c r="H169" s="1"/>
    </row>
    <row r="170" spans="5:8" x14ac:dyDescent="0.2">
      <c r="E170" s="1"/>
      <c r="F170" s="1"/>
      <c r="G170" s="1"/>
      <c r="H170" s="1"/>
    </row>
    <row r="171" spans="5:8" x14ac:dyDescent="0.2">
      <c r="E171" s="1"/>
      <c r="F171" s="1"/>
      <c r="G171" s="1"/>
      <c r="H171" s="1"/>
    </row>
    <row r="172" spans="5:8" x14ac:dyDescent="0.2">
      <c r="E172" s="1"/>
      <c r="F172" s="1"/>
      <c r="G172" s="1"/>
      <c r="H172" s="1"/>
    </row>
    <row r="173" spans="5:8" x14ac:dyDescent="0.2">
      <c r="E173" s="1"/>
      <c r="F173" s="1"/>
      <c r="G173" s="1"/>
      <c r="H173" s="1"/>
    </row>
    <row r="174" spans="5:8" x14ac:dyDescent="0.2">
      <c r="E174" s="1"/>
      <c r="F174" s="1"/>
      <c r="G174" s="1"/>
      <c r="H174" s="1"/>
    </row>
  </sheetData>
  <autoFilter ref="A3:O6"/>
  <mergeCells count="2">
    <mergeCell ref="M1:N1"/>
    <mergeCell ref="E1:H1"/>
  </mergeCells>
  <phoneticPr fontId="2" type="noConversion"/>
  <conditionalFormatting sqref="A5">
    <cfRule type="cellIs" dxfId="100" priority="1" stopIfTrue="1" operator="equal">
      <formula>A4</formula>
    </cfRule>
  </conditionalFormatting>
  <conditionalFormatting sqref="N4:N6">
    <cfRule type="cellIs" dxfId="99" priority="2" stopIfTrue="1" operator="equal">
      <formula>0</formula>
    </cfRule>
  </conditionalFormatting>
  <conditionalFormatting sqref="A3">
    <cfRule type="cellIs" dxfId="98" priority="3" stopIfTrue="1" operator="equal">
      <formula>#REF!</formula>
    </cfRule>
  </conditionalFormatting>
  <conditionalFormatting sqref="A6">
    <cfRule type="cellIs" dxfId="97" priority="5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6"/>
  <sheetViews>
    <sheetView zoomScale="90" zoomScaleNormal="90" zoomScaleSheetLayoutView="100" zoomScalePageLayoutView="80" workbookViewId="0">
      <selection activeCell="J1" sqref="J1"/>
    </sheetView>
  </sheetViews>
  <sheetFormatPr defaultRowHeight="12.75" x14ac:dyDescent="0.2"/>
  <cols>
    <col min="1" max="1" width="5.140625" style="1" customWidth="1"/>
    <col min="2" max="2" width="13" style="1" bestFit="1" customWidth="1"/>
    <col min="3" max="3" width="11.28515625" style="1" customWidth="1"/>
    <col min="4" max="4" width="10.140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140625" style="1" customWidth="1"/>
    <col min="13" max="13" width="8.85546875" style="1" customWidth="1"/>
    <col min="14" max="14" width="11.7109375" style="1" customWidth="1"/>
    <col min="15" max="15" width="11.42578125" style="1" customWidth="1"/>
    <col min="16" max="16" width="4.42578125" style="1" customWidth="1"/>
    <col min="17" max="29" width="9.140625" style="1"/>
    <col min="30" max="30" width="10.42578125" style="1" customWidth="1"/>
    <col min="31" max="35" width="9.140625" style="1"/>
    <col min="36" max="36" width="10.140625" style="1" bestFit="1" customWidth="1"/>
    <col min="37" max="57" width="9.140625" style="1"/>
    <col min="58" max="58" width="10.140625" style="1" bestFit="1" customWidth="1"/>
    <col min="59" max="59" width="10.140625" style="1" customWidth="1"/>
    <col min="60" max="60" width="11.42578125" style="1" bestFit="1" customWidth="1"/>
    <col min="61" max="61" width="9.140625" style="1"/>
    <col min="62" max="62" width="12.28515625" style="1" bestFit="1" customWidth="1"/>
    <col min="63" max="16384" width="9.140625" style="1"/>
  </cols>
  <sheetData>
    <row r="1" spans="1:90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9"/>
      <c r="BF1" s="9"/>
      <c r="BG1" s="9"/>
      <c r="BH1" s="9"/>
      <c r="BI1" s="9"/>
      <c r="BJ1" s="9"/>
    </row>
    <row r="2" spans="1:90" ht="23.25" thickBot="1" x14ac:dyDescent="0.25">
      <c r="A2" s="48"/>
      <c r="B2" s="49"/>
      <c r="C2" s="49"/>
      <c r="D2" s="50" t="s">
        <v>195</v>
      </c>
      <c r="E2" s="50">
        <v>2001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90" s="3" customFormat="1" ht="13.5" thickBot="1" x14ac:dyDescent="0.25">
      <c r="A3" s="54"/>
      <c r="B3" s="55"/>
      <c r="C3" s="55" t="s">
        <v>189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s="3" customFormat="1" x14ac:dyDescent="0.2">
      <c r="A4" s="39">
        <f>IF(B4="",A2,A2+1)</f>
        <v>1</v>
      </c>
      <c r="B4" s="122" t="s">
        <v>619</v>
      </c>
      <c r="C4" s="123" t="s">
        <v>620</v>
      </c>
      <c r="D4" s="82"/>
      <c r="E4" s="63">
        <v>134</v>
      </c>
      <c r="F4" s="64">
        <v>135</v>
      </c>
      <c r="G4" s="64">
        <v>136</v>
      </c>
      <c r="H4" s="64">
        <v>137</v>
      </c>
      <c r="I4" s="102" t="s">
        <v>153</v>
      </c>
      <c r="J4" s="135" t="s">
        <v>636</v>
      </c>
      <c r="K4" s="67" t="s">
        <v>157</v>
      </c>
      <c r="L4" s="83" t="s">
        <v>224</v>
      </c>
      <c r="M4" s="40"/>
      <c r="N4" s="42"/>
      <c r="O4" s="6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s="3" customFormat="1" ht="28.5" customHeight="1" x14ac:dyDescent="0.2">
      <c r="A5" s="23">
        <f t="shared" ref="A5:A16" si="0">IF(B5="",A4,A4+1)</f>
        <v>2</v>
      </c>
      <c r="B5" s="117" t="s">
        <v>621</v>
      </c>
      <c r="C5" s="118" t="s">
        <v>622</v>
      </c>
      <c r="D5" s="91"/>
      <c r="E5" s="92">
        <v>287</v>
      </c>
      <c r="F5" s="93">
        <v>297</v>
      </c>
      <c r="G5" s="93">
        <v>310</v>
      </c>
      <c r="H5" s="93">
        <v>325</v>
      </c>
      <c r="I5" s="119" t="s">
        <v>93</v>
      </c>
      <c r="J5" s="136" t="s">
        <v>635</v>
      </c>
      <c r="K5" s="95" t="s">
        <v>157</v>
      </c>
      <c r="L5" s="96" t="s">
        <v>224</v>
      </c>
      <c r="M5" s="94"/>
      <c r="N5" s="97">
        <v>2.4</v>
      </c>
      <c r="O5" s="97">
        <f>N5*1000/H5</f>
        <v>7.384615384615385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s="3" customFormat="1" ht="25.5" x14ac:dyDescent="0.2">
      <c r="A6" s="23">
        <f t="shared" si="0"/>
        <v>3</v>
      </c>
      <c r="B6" s="107" t="s">
        <v>621</v>
      </c>
      <c r="C6" s="108" t="s">
        <v>622</v>
      </c>
      <c r="D6" s="38"/>
      <c r="E6" s="60">
        <v>287</v>
      </c>
      <c r="F6" s="61">
        <v>297</v>
      </c>
      <c r="G6" s="61">
        <v>310</v>
      </c>
      <c r="H6" s="61">
        <v>325</v>
      </c>
      <c r="I6" s="106" t="s">
        <v>153</v>
      </c>
      <c r="J6" s="105" t="s">
        <v>637</v>
      </c>
      <c r="K6" s="31" t="s">
        <v>157</v>
      </c>
      <c r="L6" s="30" t="s">
        <v>224</v>
      </c>
      <c r="M6" s="24"/>
      <c r="N6" s="29">
        <f>10.204+5.76+18</f>
        <v>33.963999999999999</v>
      </c>
      <c r="O6" s="25">
        <f>N6*1000/H6</f>
        <v>104.50461538461539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</row>
    <row r="7" spans="1:90" ht="25.5" x14ac:dyDescent="0.2">
      <c r="A7" s="23">
        <f t="shared" si="0"/>
        <v>4</v>
      </c>
      <c r="B7" s="107" t="s">
        <v>190</v>
      </c>
      <c r="C7" s="108" t="s">
        <v>184</v>
      </c>
      <c r="D7" s="38"/>
      <c r="E7" s="60">
        <v>102</v>
      </c>
      <c r="F7" s="61">
        <v>102</v>
      </c>
      <c r="G7" s="61">
        <v>102</v>
      </c>
      <c r="H7" s="61">
        <v>102</v>
      </c>
      <c r="I7" s="27" t="s">
        <v>93</v>
      </c>
      <c r="J7" s="105" t="s">
        <v>635</v>
      </c>
      <c r="K7" s="31" t="s">
        <v>157</v>
      </c>
      <c r="L7" s="30" t="s">
        <v>224</v>
      </c>
      <c r="M7" s="24"/>
      <c r="N7" s="29"/>
      <c r="O7" s="25"/>
    </row>
    <row r="8" spans="1:90" ht="25.5" x14ac:dyDescent="0.2">
      <c r="A8" s="23">
        <f t="shared" si="0"/>
        <v>5</v>
      </c>
      <c r="B8" s="107" t="s">
        <v>190</v>
      </c>
      <c r="C8" s="38" t="s">
        <v>184</v>
      </c>
      <c r="D8" s="38"/>
      <c r="E8" s="60">
        <v>102</v>
      </c>
      <c r="F8" s="61">
        <v>102</v>
      </c>
      <c r="G8" s="61">
        <v>102</v>
      </c>
      <c r="H8" s="61">
        <v>102</v>
      </c>
      <c r="I8" s="27" t="s">
        <v>153</v>
      </c>
      <c r="J8" s="105" t="s">
        <v>636</v>
      </c>
      <c r="K8" s="31" t="s">
        <v>157</v>
      </c>
      <c r="L8" s="30" t="s">
        <v>224</v>
      </c>
      <c r="M8" s="24"/>
      <c r="N8" s="29"/>
      <c r="O8" s="25"/>
    </row>
    <row r="9" spans="1:90" ht="25.5" x14ac:dyDescent="0.2">
      <c r="A9" s="23">
        <f t="shared" si="0"/>
        <v>6</v>
      </c>
      <c r="B9" s="107" t="s">
        <v>623</v>
      </c>
      <c r="C9" s="108" t="s">
        <v>624</v>
      </c>
      <c r="D9" s="38"/>
      <c r="E9" s="60">
        <v>866</v>
      </c>
      <c r="F9" s="61">
        <v>1005</v>
      </c>
      <c r="G9" s="61">
        <v>1179</v>
      </c>
      <c r="H9" s="61">
        <v>1353</v>
      </c>
      <c r="I9" s="106" t="s">
        <v>93</v>
      </c>
      <c r="J9" s="105" t="s">
        <v>633</v>
      </c>
      <c r="K9" s="31" t="s">
        <v>157</v>
      </c>
      <c r="L9" s="30" t="s">
        <v>158</v>
      </c>
      <c r="M9" s="24"/>
      <c r="N9" s="29"/>
      <c r="O9" s="25"/>
    </row>
    <row r="10" spans="1:90" ht="25.5" x14ac:dyDescent="0.2">
      <c r="A10" s="23">
        <f t="shared" si="0"/>
        <v>7</v>
      </c>
      <c r="B10" s="107" t="s">
        <v>623</v>
      </c>
      <c r="C10" s="108" t="s">
        <v>624</v>
      </c>
      <c r="D10" s="38"/>
      <c r="E10" s="60">
        <v>866</v>
      </c>
      <c r="F10" s="61">
        <v>1005</v>
      </c>
      <c r="G10" s="61">
        <v>1179</v>
      </c>
      <c r="H10" s="61">
        <v>1353</v>
      </c>
      <c r="I10" s="106" t="s">
        <v>153</v>
      </c>
      <c r="J10" s="105" t="s">
        <v>634</v>
      </c>
      <c r="K10" s="31" t="s">
        <v>157</v>
      </c>
      <c r="L10" s="30" t="s">
        <v>158</v>
      </c>
      <c r="M10" s="24"/>
      <c r="N10" s="29"/>
      <c r="O10" s="25"/>
    </row>
    <row r="11" spans="1:90" ht="25.5" x14ac:dyDescent="0.2">
      <c r="A11" s="23">
        <f t="shared" si="0"/>
        <v>8</v>
      </c>
      <c r="B11" s="107" t="s">
        <v>625</v>
      </c>
      <c r="C11" s="108" t="s">
        <v>624</v>
      </c>
      <c r="D11" s="108" t="s">
        <v>626</v>
      </c>
      <c r="E11" s="60">
        <v>172</v>
      </c>
      <c r="F11" s="61">
        <v>170</v>
      </c>
      <c r="G11" s="61">
        <v>167</v>
      </c>
      <c r="H11" s="61">
        <v>164</v>
      </c>
      <c r="I11" s="106" t="s">
        <v>93</v>
      </c>
      <c r="J11" s="105" t="s">
        <v>632</v>
      </c>
      <c r="K11" s="31" t="s">
        <v>157</v>
      </c>
      <c r="L11" s="30" t="s">
        <v>158</v>
      </c>
      <c r="M11" s="24"/>
      <c r="N11" s="29">
        <f>0.072+0.085+0.098+0.101</f>
        <v>0.35599999999999998</v>
      </c>
      <c r="O11" s="25">
        <f>N11*1000/H11</f>
        <v>2.1707317073170733</v>
      </c>
    </row>
    <row r="12" spans="1:90" ht="40.5" customHeight="1" x14ac:dyDescent="0.2">
      <c r="A12" s="23">
        <f t="shared" si="0"/>
        <v>9</v>
      </c>
      <c r="B12" s="107" t="s">
        <v>625</v>
      </c>
      <c r="C12" s="108" t="s">
        <v>624</v>
      </c>
      <c r="D12" s="108" t="s">
        <v>626</v>
      </c>
      <c r="E12" s="60">
        <v>172</v>
      </c>
      <c r="F12" s="61">
        <v>170</v>
      </c>
      <c r="G12" s="61">
        <v>167</v>
      </c>
      <c r="H12" s="61">
        <v>164</v>
      </c>
      <c r="I12" s="106" t="s">
        <v>153</v>
      </c>
      <c r="J12" s="105" t="s">
        <v>631</v>
      </c>
      <c r="K12" s="31" t="s">
        <v>156</v>
      </c>
      <c r="L12" s="30"/>
      <c r="M12" s="24"/>
      <c r="N12" s="29">
        <f>7+0.035+0.23+0.25*7+0.277+0.27</f>
        <v>9.5619999999999994</v>
      </c>
      <c r="O12" s="25">
        <f>N12*1000/H12</f>
        <v>58.304878048780488</v>
      </c>
    </row>
    <row r="13" spans="1:90" x14ac:dyDescent="0.2">
      <c r="A13" s="23">
        <f t="shared" si="0"/>
        <v>10</v>
      </c>
      <c r="B13" s="107" t="s">
        <v>627</v>
      </c>
      <c r="C13" s="108" t="s">
        <v>624</v>
      </c>
      <c r="D13" s="108" t="s">
        <v>628</v>
      </c>
      <c r="E13" s="60">
        <v>116</v>
      </c>
      <c r="F13" s="61">
        <v>117</v>
      </c>
      <c r="G13" s="61">
        <v>111</v>
      </c>
      <c r="H13" s="61">
        <v>119</v>
      </c>
      <c r="I13" s="106" t="s">
        <v>93</v>
      </c>
      <c r="J13" s="105" t="s">
        <v>629</v>
      </c>
      <c r="K13" s="31" t="s">
        <v>156</v>
      </c>
      <c r="L13" s="30"/>
      <c r="M13" s="24"/>
      <c r="N13" s="29"/>
      <c r="O13" s="25"/>
    </row>
    <row r="14" spans="1:90" ht="38.25" x14ac:dyDescent="0.2">
      <c r="A14" s="23">
        <f t="shared" si="0"/>
        <v>11</v>
      </c>
      <c r="B14" s="107" t="s">
        <v>627</v>
      </c>
      <c r="C14" s="108" t="s">
        <v>624</v>
      </c>
      <c r="D14" s="108" t="s">
        <v>628</v>
      </c>
      <c r="E14" s="60">
        <v>116</v>
      </c>
      <c r="F14" s="61">
        <v>117</v>
      </c>
      <c r="G14" s="61">
        <v>111</v>
      </c>
      <c r="H14" s="61">
        <v>119</v>
      </c>
      <c r="I14" s="106" t="s">
        <v>153</v>
      </c>
      <c r="J14" s="105" t="s">
        <v>630</v>
      </c>
      <c r="K14" s="31" t="s">
        <v>156</v>
      </c>
      <c r="L14" s="30"/>
      <c r="M14" s="24"/>
      <c r="N14" s="29">
        <f>0.3+0.33+0.25+0.989</f>
        <v>1.869</v>
      </c>
      <c r="O14" s="25">
        <f>N14*1000/H14</f>
        <v>15.705882352941176</v>
      </c>
    </row>
    <row r="15" spans="1:90" x14ac:dyDescent="0.2">
      <c r="A15" s="23">
        <f t="shared" si="0"/>
        <v>12</v>
      </c>
      <c r="B15" s="107" t="s">
        <v>638</v>
      </c>
      <c r="C15" s="108" t="s">
        <v>639</v>
      </c>
      <c r="D15" s="108"/>
      <c r="E15" s="60">
        <v>200</v>
      </c>
      <c r="F15" s="61">
        <v>191</v>
      </c>
      <c r="G15" s="61">
        <v>179</v>
      </c>
      <c r="H15" s="61">
        <v>220</v>
      </c>
      <c r="I15" s="106" t="s">
        <v>153</v>
      </c>
      <c r="J15" s="105" t="s">
        <v>640</v>
      </c>
      <c r="K15" s="31" t="s">
        <v>157</v>
      </c>
      <c r="L15" s="30" t="s">
        <v>224</v>
      </c>
      <c r="M15" s="24"/>
      <c r="N15" s="29"/>
      <c r="O15" s="25"/>
    </row>
    <row r="16" spans="1:90" ht="25.5" x14ac:dyDescent="0.2">
      <c r="A16" s="23">
        <f t="shared" si="0"/>
        <v>13</v>
      </c>
      <c r="B16" s="107" t="s">
        <v>641</v>
      </c>
      <c r="C16" s="108" t="s">
        <v>639</v>
      </c>
      <c r="D16" s="108" t="s">
        <v>234</v>
      </c>
      <c r="E16" s="60"/>
      <c r="F16" s="61"/>
      <c r="G16" s="61"/>
      <c r="H16" s="61"/>
      <c r="I16" s="106" t="s">
        <v>93</v>
      </c>
      <c r="J16" s="105" t="s">
        <v>642</v>
      </c>
      <c r="K16" s="31" t="s">
        <v>156</v>
      </c>
      <c r="L16" s="30"/>
      <c r="M16" s="24"/>
      <c r="N16" s="29"/>
      <c r="O16" s="25"/>
    </row>
  </sheetData>
  <autoFilter ref="A3:O16"/>
  <mergeCells count="2">
    <mergeCell ref="M1:N1"/>
    <mergeCell ref="E1:H1"/>
  </mergeCells>
  <phoneticPr fontId="2" type="noConversion"/>
  <conditionalFormatting sqref="A4">
    <cfRule type="cellIs" dxfId="55" priority="2" stopIfTrue="1" operator="equal">
      <formula>A2</formula>
    </cfRule>
  </conditionalFormatting>
  <conditionalFormatting sqref="A5:A16">
    <cfRule type="cellIs" dxfId="54" priority="3" stopIfTrue="1" operator="equal">
      <formula>A4</formula>
    </cfRule>
  </conditionalFormatting>
  <conditionalFormatting sqref="N4:N16">
    <cfRule type="cellIs" dxfId="53" priority="4" stopIfTrue="1" operator="equal">
      <formula>0</formula>
    </cfRule>
  </conditionalFormatting>
  <conditionalFormatting sqref="A3">
    <cfRule type="cellIs" dxfId="52" priority="5" stopIfTrue="1" operator="equal">
      <formula>#REF!</formula>
    </cfRule>
  </conditionalFormatting>
  <conditionalFormatting sqref="A16">
    <cfRule type="cellIs" dxfId="51" priority="7" stopIfTrue="1" operator="equal">
      <formula>#REF!</formula>
    </cfRule>
  </conditionalFormatting>
  <conditionalFormatting sqref="O5">
    <cfRule type="cellIs" dxfId="50" priority="1" stopIfTrue="1" operator="equal">
      <formula>0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4"/>
  <sheetViews>
    <sheetView zoomScale="90" zoomScaleNormal="90" zoomScaleSheetLayoutView="90" zoomScalePageLayoutView="80" workbookViewId="0">
      <selection activeCell="J1" sqref="J1"/>
    </sheetView>
  </sheetViews>
  <sheetFormatPr defaultRowHeight="12.75" x14ac:dyDescent="0.2"/>
  <cols>
    <col min="1" max="1" width="5.85546875" style="1" customWidth="1"/>
    <col min="2" max="2" width="13" style="1" customWidth="1"/>
    <col min="3" max="3" width="11.5703125" style="1" customWidth="1"/>
    <col min="4" max="4" width="11.140625" style="1" customWidth="1"/>
    <col min="5" max="8" width="6.5703125" bestFit="1" customWidth="1"/>
    <col min="9" max="9" width="10" style="2" customWidth="1"/>
    <col min="10" max="10" width="50.7109375" style="1" customWidth="1"/>
    <col min="11" max="11" width="9.7109375" style="1" customWidth="1"/>
    <col min="12" max="12" width="9.5703125" style="1" customWidth="1"/>
    <col min="13" max="13" width="8.85546875" style="1" customWidth="1"/>
    <col min="14" max="15" width="11.42578125" style="1" customWidth="1"/>
    <col min="16" max="16" width="4.42578125" style="1" customWidth="1"/>
    <col min="17" max="21" width="9.140625" style="1"/>
    <col min="22" max="22" width="10.140625" style="1" bestFit="1" customWidth="1"/>
    <col min="23" max="43" width="9.140625" style="1"/>
    <col min="44" max="44" width="10.140625" style="1" bestFit="1" customWidth="1"/>
    <col min="45" max="45" width="10.140625" style="1" customWidth="1"/>
    <col min="46" max="46" width="11.42578125" style="1" bestFit="1" customWidth="1"/>
    <col min="47" max="47" width="9.140625" style="1"/>
    <col min="48" max="48" width="12.28515625" style="1" bestFit="1" customWidth="1"/>
    <col min="49" max="16384" width="9.140625" style="1"/>
  </cols>
  <sheetData>
    <row r="1" spans="1:76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10"/>
      <c r="AQ1" s="9"/>
      <c r="AR1" s="9"/>
      <c r="AS1" s="9"/>
      <c r="AT1" s="9"/>
      <c r="AU1" s="9"/>
      <c r="AV1" s="9"/>
    </row>
    <row r="2" spans="1:76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76" s="3" customFormat="1" ht="13.5" thickBot="1" x14ac:dyDescent="0.25">
      <c r="A3" s="54"/>
      <c r="B3" s="55"/>
      <c r="C3" s="55" t="s">
        <v>160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x14ac:dyDescent="0.2">
      <c r="A4" s="23">
        <v>1</v>
      </c>
      <c r="B4" s="37" t="s">
        <v>161</v>
      </c>
      <c r="C4" s="38" t="s">
        <v>56</v>
      </c>
      <c r="D4" s="38"/>
      <c r="E4" s="60">
        <v>563</v>
      </c>
      <c r="F4" s="61">
        <v>572</v>
      </c>
      <c r="G4" s="61">
        <v>583</v>
      </c>
      <c r="H4" s="61">
        <v>594</v>
      </c>
      <c r="I4" s="27" t="s">
        <v>93</v>
      </c>
      <c r="J4" s="105" t="s">
        <v>413</v>
      </c>
      <c r="K4" s="31" t="s">
        <v>157</v>
      </c>
      <c r="L4" s="30" t="s">
        <v>158</v>
      </c>
      <c r="M4" s="24"/>
      <c r="N4" s="29">
        <v>2</v>
      </c>
      <c r="O4" s="25">
        <f>N4*1000/H4</f>
        <v>3.3670033670033672</v>
      </c>
    </row>
    <row r="5" spans="1:76" ht="25.5" x14ac:dyDescent="0.2">
      <c r="A5" s="23">
        <f t="shared" ref="A5:A44" si="0">IF(B5="",A4,A4+1)</f>
        <v>2</v>
      </c>
      <c r="B5" s="37" t="s">
        <v>161</v>
      </c>
      <c r="C5" s="38" t="s">
        <v>56</v>
      </c>
      <c r="D5" s="38"/>
      <c r="E5" s="60">
        <v>563</v>
      </c>
      <c r="F5" s="61">
        <v>572</v>
      </c>
      <c r="G5" s="61">
        <v>583</v>
      </c>
      <c r="H5" s="61">
        <v>594</v>
      </c>
      <c r="I5" s="27" t="s">
        <v>153</v>
      </c>
      <c r="J5" s="105" t="s">
        <v>559</v>
      </c>
      <c r="K5" s="31" t="s">
        <v>157</v>
      </c>
      <c r="L5" s="30" t="s">
        <v>158</v>
      </c>
      <c r="M5" s="24"/>
      <c r="N5" s="29">
        <f>1.14+1.35</f>
        <v>2.4900000000000002</v>
      </c>
      <c r="O5" s="25">
        <f>N5*1000/H5</f>
        <v>4.191919191919192</v>
      </c>
    </row>
    <row r="6" spans="1:76" x14ac:dyDescent="0.2">
      <c r="A6" s="23">
        <f t="shared" si="0"/>
        <v>3</v>
      </c>
      <c r="B6" s="37" t="s">
        <v>162</v>
      </c>
      <c r="C6" s="38" t="s">
        <v>56</v>
      </c>
      <c r="D6" s="38" t="s">
        <v>57</v>
      </c>
      <c r="E6" s="60">
        <v>189</v>
      </c>
      <c r="F6" s="61">
        <v>186</v>
      </c>
      <c r="G6" s="61">
        <v>181</v>
      </c>
      <c r="H6" s="61">
        <v>177</v>
      </c>
      <c r="I6" s="27" t="s">
        <v>93</v>
      </c>
      <c r="J6" s="105" t="s">
        <v>557</v>
      </c>
      <c r="K6" s="31" t="s">
        <v>156</v>
      </c>
      <c r="L6" s="30"/>
      <c r="M6" s="24"/>
      <c r="N6" s="29"/>
      <c r="O6" s="25"/>
    </row>
    <row r="7" spans="1:76" x14ac:dyDescent="0.2">
      <c r="A7" s="23">
        <f t="shared" si="0"/>
        <v>4</v>
      </c>
      <c r="B7" s="37" t="s">
        <v>162</v>
      </c>
      <c r="C7" s="38" t="s">
        <v>56</v>
      </c>
      <c r="D7" s="38" t="s">
        <v>57</v>
      </c>
      <c r="E7" s="60">
        <v>189</v>
      </c>
      <c r="F7" s="61">
        <v>186</v>
      </c>
      <c r="G7" s="61">
        <v>181</v>
      </c>
      <c r="H7" s="61">
        <v>177</v>
      </c>
      <c r="I7" s="106" t="s">
        <v>153</v>
      </c>
      <c r="J7" s="105" t="s">
        <v>558</v>
      </c>
      <c r="K7" s="31" t="s">
        <v>156</v>
      </c>
      <c r="L7" s="30"/>
      <c r="M7" s="24"/>
      <c r="N7" s="29"/>
      <c r="O7" s="25"/>
    </row>
    <row r="8" spans="1:76" ht="51" x14ac:dyDescent="0.2">
      <c r="A8" s="23">
        <f t="shared" si="0"/>
        <v>5</v>
      </c>
      <c r="B8" s="37" t="s">
        <v>62</v>
      </c>
      <c r="C8" s="38" t="s">
        <v>56</v>
      </c>
      <c r="D8" s="38" t="s">
        <v>8</v>
      </c>
      <c r="E8" s="60">
        <v>34</v>
      </c>
      <c r="F8" s="61">
        <v>35</v>
      </c>
      <c r="G8" s="61">
        <v>36</v>
      </c>
      <c r="H8" s="61">
        <v>37</v>
      </c>
      <c r="I8" s="106" t="s">
        <v>93</v>
      </c>
      <c r="J8" s="105" t="s">
        <v>554</v>
      </c>
      <c r="K8" s="31" t="s">
        <v>157</v>
      </c>
      <c r="L8" s="30" t="s">
        <v>158</v>
      </c>
      <c r="M8" s="24"/>
      <c r="N8" s="29"/>
      <c r="O8" s="25"/>
    </row>
    <row r="9" spans="1:76" ht="25.5" x14ac:dyDescent="0.2">
      <c r="A9" s="23">
        <f t="shared" si="0"/>
        <v>6</v>
      </c>
      <c r="B9" s="37" t="s">
        <v>62</v>
      </c>
      <c r="C9" s="38" t="s">
        <v>56</v>
      </c>
      <c r="D9" s="38" t="s">
        <v>8</v>
      </c>
      <c r="E9" s="60">
        <v>34</v>
      </c>
      <c r="F9" s="61">
        <v>35</v>
      </c>
      <c r="G9" s="61">
        <v>36</v>
      </c>
      <c r="H9" s="61">
        <v>37</v>
      </c>
      <c r="I9" s="27" t="s">
        <v>153</v>
      </c>
      <c r="J9" s="105" t="s">
        <v>555</v>
      </c>
      <c r="K9" s="31" t="s">
        <v>156</v>
      </c>
      <c r="L9" s="30"/>
      <c r="M9" s="24"/>
      <c r="N9" s="29"/>
      <c r="O9" s="25"/>
    </row>
    <row r="10" spans="1:76" x14ac:dyDescent="0.2">
      <c r="A10" s="23">
        <f t="shared" si="0"/>
        <v>7</v>
      </c>
      <c r="B10" s="37" t="s">
        <v>163</v>
      </c>
      <c r="C10" s="38" t="s">
        <v>56</v>
      </c>
      <c r="D10" s="38" t="s">
        <v>58</v>
      </c>
      <c r="E10" s="60">
        <v>63</v>
      </c>
      <c r="F10" s="61">
        <v>57</v>
      </c>
      <c r="G10" s="61">
        <v>49</v>
      </c>
      <c r="H10" s="61">
        <v>41</v>
      </c>
      <c r="I10" s="106" t="s">
        <v>153</v>
      </c>
      <c r="J10" s="105" t="s">
        <v>556</v>
      </c>
      <c r="K10" s="31" t="s">
        <v>156</v>
      </c>
      <c r="L10" s="30"/>
      <c r="M10" s="24"/>
      <c r="N10" s="29"/>
      <c r="O10" s="25"/>
    </row>
    <row r="11" spans="1:76" x14ac:dyDescent="0.2">
      <c r="A11" s="23">
        <f t="shared" si="0"/>
        <v>8</v>
      </c>
      <c r="B11" s="107" t="s">
        <v>164</v>
      </c>
      <c r="C11" s="108" t="s">
        <v>59</v>
      </c>
      <c r="D11" s="38"/>
      <c r="E11" s="60">
        <v>146</v>
      </c>
      <c r="F11" s="61">
        <v>145</v>
      </c>
      <c r="G11" s="61">
        <v>144</v>
      </c>
      <c r="H11" s="61">
        <v>143</v>
      </c>
      <c r="I11" s="106" t="s">
        <v>93</v>
      </c>
      <c r="J11" s="105" t="s">
        <v>560</v>
      </c>
      <c r="K11" s="31" t="s">
        <v>157</v>
      </c>
      <c r="L11" s="30" t="s">
        <v>224</v>
      </c>
      <c r="M11" s="24"/>
      <c r="N11" s="29">
        <f>3.713+0.258</f>
        <v>3.9710000000000001</v>
      </c>
      <c r="O11" s="25">
        <f>N11*1000/H11</f>
        <v>27.76923076923077</v>
      </c>
    </row>
    <row r="12" spans="1:76" ht="25.5" x14ac:dyDescent="0.2">
      <c r="A12" s="23">
        <f t="shared" si="0"/>
        <v>9</v>
      </c>
      <c r="B12" s="107" t="s">
        <v>164</v>
      </c>
      <c r="C12" s="108" t="s">
        <v>59</v>
      </c>
      <c r="D12" s="38"/>
      <c r="E12" s="60">
        <v>146</v>
      </c>
      <c r="F12" s="61">
        <v>145</v>
      </c>
      <c r="G12" s="61">
        <v>144</v>
      </c>
      <c r="H12" s="61">
        <v>143</v>
      </c>
      <c r="I12" s="106" t="s">
        <v>153</v>
      </c>
      <c r="J12" s="105" t="s">
        <v>561</v>
      </c>
      <c r="K12" s="31" t="s">
        <v>157</v>
      </c>
      <c r="L12" s="30" t="s">
        <v>224</v>
      </c>
      <c r="M12" s="24"/>
      <c r="N12" s="29">
        <v>0.82699999999999996</v>
      </c>
      <c r="O12" s="25">
        <f>N12*1000/H12</f>
        <v>5.7832167832167833</v>
      </c>
    </row>
    <row r="13" spans="1:76" x14ac:dyDescent="0.2">
      <c r="A13" s="23">
        <f t="shared" si="0"/>
        <v>10</v>
      </c>
      <c r="B13" s="107" t="s">
        <v>562</v>
      </c>
      <c r="C13" s="108" t="s">
        <v>563</v>
      </c>
      <c r="D13" s="38"/>
      <c r="E13" s="60"/>
      <c r="F13" s="61"/>
      <c r="G13" s="61"/>
      <c r="H13" s="61"/>
      <c r="I13" s="106" t="s">
        <v>93</v>
      </c>
      <c r="J13" s="105" t="s">
        <v>564</v>
      </c>
      <c r="K13" s="31" t="s">
        <v>156</v>
      </c>
      <c r="L13" s="30"/>
      <c r="M13" s="24"/>
      <c r="N13" s="29"/>
      <c r="O13" s="25"/>
    </row>
    <row r="14" spans="1:76" x14ac:dyDescent="0.2">
      <c r="A14" s="23">
        <f t="shared" si="0"/>
        <v>11</v>
      </c>
      <c r="B14" s="107" t="s">
        <v>562</v>
      </c>
      <c r="C14" s="108" t="s">
        <v>563</v>
      </c>
      <c r="D14" s="38"/>
      <c r="E14" s="60"/>
      <c r="F14" s="61"/>
      <c r="G14" s="61"/>
      <c r="H14" s="61"/>
      <c r="I14" s="106" t="s">
        <v>153</v>
      </c>
      <c r="J14" s="105" t="s">
        <v>565</v>
      </c>
      <c r="K14" s="31" t="s">
        <v>157</v>
      </c>
      <c r="L14" s="30" t="s">
        <v>158</v>
      </c>
      <c r="M14" s="24"/>
      <c r="N14" s="29"/>
      <c r="O14" s="25"/>
    </row>
    <row r="15" spans="1:76" ht="25.5" x14ac:dyDescent="0.2">
      <c r="A15" s="23">
        <f t="shared" si="0"/>
        <v>12</v>
      </c>
      <c r="B15" s="107" t="s">
        <v>566</v>
      </c>
      <c r="C15" s="108" t="s">
        <v>563</v>
      </c>
      <c r="D15" s="108" t="s">
        <v>567</v>
      </c>
      <c r="E15" s="60"/>
      <c r="F15" s="61"/>
      <c r="G15" s="61"/>
      <c r="H15" s="61"/>
      <c r="I15" s="106" t="s">
        <v>93</v>
      </c>
      <c r="J15" s="105" t="s">
        <v>574</v>
      </c>
      <c r="K15" s="31" t="s">
        <v>157</v>
      </c>
      <c r="L15" s="30" t="s">
        <v>158</v>
      </c>
      <c r="M15" s="24"/>
      <c r="N15" s="29"/>
      <c r="O15" s="25"/>
    </row>
    <row r="16" spans="1:76" ht="38.25" x14ac:dyDescent="0.2">
      <c r="A16" s="23">
        <f t="shared" si="0"/>
        <v>13</v>
      </c>
      <c r="B16" s="107" t="s">
        <v>566</v>
      </c>
      <c r="C16" s="108" t="s">
        <v>563</v>
      </c>
      <c r="D16" s="108" t="s">
        <v>567</v>
      </c>
      <c r="E16" s="60"/>
      <c r="F16" s="61"/>
      <c r="G16" s="61"/>
      <c r="H16" s="61"/>
      <c r="I16" s="106" t="s">
        <v>153</v>
      </c>
      <c r="J16" s="105" t="s">
        <v>575</v>
      </c>
      <c r="K16" s="31" t="s">
        <v>157</v>
      </c>
      <c r="L16" s="30" t="s">
        <v>158</v>
      </c>
      <c r="M16" s="24"/>
      <c r="N16" s="29"/>
      <c r="O16" s="25"/>
    </row>
    <row r="17" spans="1:15" ht="25.5" x14ac:dyDescent="0.2">
      <c r="A17" s="23">
        <f t="shared" si="0"/>
        <v>14</v>
      </c>
      <c r="B17" s="107" t="s">
        <v>568</v>
      </c>
      <c r="C17" s="108" t="s">
        <v>563</v>
      </c>
      <c r="D17" s="108" t="s">
        <v>571</v>
      </c>
      <c r="E17" s="60"/>
      <c r="F17" s="61"/>
      <c r="G17" s="61"/>
      <c r="H17" s="61"/>
      <c r="I17" s="106" t="s">
        <v>93</v>
      </c>
      <c r="J17" s="105" t="s">
        <v>572</v>
      </c>
      <c r="K17" s="31" t="s">
        <v>156</v>
      </c>
      <c r="L17" s="30"/>
      <c r="M17" s="24"/>
      <c r="N17" s="29"/>
      <c r="O17" s="25"/>
    </row>
    <row r="18" spans="1:15" ht="26.25" customHeight="1" x14ac:dyDescent="0.2">
      <c r="A18" s="23">
        <f t="shared" si="0"/>
        <v>15</v>
      </c>
      <c r="B18" s="107" t="s">
        <v>568</v>
      </c>
      <c r="C18" s="108" t="s">
        <v>563</v>
      </c>
      <c r="D18" s="108" t="s">
        <v>571</v>
      </c>
      <c r="E18" s="60"/>
      <c r="F18" s="61"/>
      <c r="G18" s="61"/>
      <c r="H18" s="61"/>
      <c r="I18" s="106" t="s">
        <v>153</v>
      </c>
      <c r="J18" s="105" t="s">
        <v>573</v>
      </c>
      <c r="K18" s="31" t="s">
        <v>157</v>
      </c>
      <c r="L18" s="30" t="s">
        <v>158</v>
      </c>
      <c r="M18" s="24"/>
      <c r="N18" s="29"/>
      <c r="O18" s="25"/>
    </row>
    <row r="19" spans="1:15" ht="25.5" x14ac:dyDescent="0.2">
      <c r="A19" s="23">
        <f t="shared" si="0"/>
        <v>16</v>
      </c>
      <c r="B19" s="107" t="s">
        <v>569</v>
      </c>
      <c r="C19" s="108" t="s">
        <v>563</v>
      </c>
      <c r="D19" s="108" t="s">
        <v>570</v>
      </c>
      <c r="E19" s="60"/>
      <c r="F19" s="61"/>
      <c r="G19" s="61"/>
      <c r="H19" s="61"/>
      <c r="I19" s="106" t="s">
        <v>93</v>
      </c>
      <c r="J19" s="105" t="s">
        <v>572</v>
      </c>
      <c r="K19" s="31" t="s">
        <v>156</v>
      </c>
      <c r="L19" s="30"/>
      <c r="M19" s="24"/>
      <c r="N19" s="29"/>
      <c r="O19" s="25"/>
    </row>
    <row r="20" spans="1:15" x14ac:dyDescent="0.2">
      <c r="A20" s="23">
        <f t="shared" si="0"/>
        <v>17</v>
      </c>
      <c r="B20" s="37" t="s">
        <v>165</v>
      </c>
      <c r="C20" s="38" t="s">
        <v>60</v>
      </c>
      <c r="D20" s="38"/>
      <c r="E20" s="60">
        <v>203</v>
      </c>
      <c r="F20" s="61">
        <v>200</v>
      </c>
      <c r="G20" s="61">
        <v>197</v>
      </c>
      <c r="H20" s="61">
        <v>194</v>
      </c>
      <c r="I20" s="27" t="s">
        <v>93</v>
      </c>
      <c r="J20" s="105" t="s">
        <v>576</v>
      </c>
      <c r="K20" s="31" t="s">
        <v>157</v>
      </c>
      <c r="L20" s="30" t="s">
        <v>158</v>
      </c>
      <c r="M20" s="24"/>
      <c r="N20" s="29">
        <f>1.795+4.571+3.1+1.65</f>
        <v>11.116</v>
      </c>
      <c r="O20" s="25">
        <f>N20*1000/H20</f>
        <v>57.298969072164951</v>
      </c>
    </row>
    <row r="21" spans="1:15" ht="25.5" x14ac:dyDescent="0.2">
      <c r="A21" s="23">
        <f t="shared" si="0"/>
        <v>18</v>
      </c>
      <c r="B21" s="37" t="s">
        <v>166</v>
      </c>
      <c r="C21" s="38" t="s">
        <v>61</v>
      </c>
      <c r="D21" s="38"/>
      <c r="E21" s="60">
        <v>192</v>
      </c>
      <c r="F21" s="61">
        <v>190</v>
      </c>
      <c r="G21" s="61">
        <v>188</v>
      </c>
      <c r="H21" s="61">
        <v>187</v>
      </c>
      <c r="I21" s="27" t="s">
        <v>93</v>
      </c>
      <c r="J21" s="105" t="s">
        <v>579</v>
      </c>
      <c r="K21" s="31" t="s">
        <v>157</v>
      </c>
      <c r="L21" s="30" t="s">
        <v>224</v>
      </c>
      <c r="M21" s="24"/>
      <c r="N21" s="29">
        <f>3.47+0.6</f>
        <v>4.07</v>
      </c>
      <c r="O21" s="25">
        <f>N21*1000/H21</f>
        <v>21.764705882352942</v>
      </c>
    </row>
    <row r="22" spans="1:15" x14ac:dyDescent="0.2">
      <c r="A22" s="23">
        <f t="shared" si="0"/>
        <v>19</v>
      </c>
      <c r="B22" s="37" t="s">
        <v>166</v>
      </c>
      <c r="C22" s="38" t="s">
        <v>61</v>
      </c>
      <c r="D22" s="38"/>
      <c r="E22" s="60">
        <v>192</v>
      </c>
      <c r="F22" s="61">
        <v>190</v>
      </c>
      <c r="G22" s="61">
        <v>188</v>
      </c>
      <c r="H22" s="61">
        <v>187</v>
      </c>
      <c r="I22" s="106" t="s">
        <v>153</v>
      </c>
      <c r="J22" s="105" t="s">
        <v>580</v>
      </c>
      <c r="K22" s="31" t="s">
        <v>157</v>
      </c>
      <c r="L22" s="30" t="s">
        <v>224</v>
      </c>
      <c r="M22" s="24"/>
      <c r="N22" s="29">
        <f>0.625+23</f>
        <v>23.625</v>
      </c>
      <c r="O22" s="25">
        <f>N22*1000/H22</f>
        <v>126.33689839572193</v>
      </c>
    </row>
    <row r="23" spans="1:15" x14ac:dyDescent="0.2">
      <c r="A23" s="23">
        <f t="shared" si="0"/>
        <v>20</v>
      </c>
      <c r="B23" s="107" t="s">
        <v>577</v>
      </c>
      <c r="C23" s="108" t="s">
        <v>578</v>
      </c>
      <c r="D23" s="38"/>
      <c r="E23" s="60">
        <v>187</v>
      </c>
      <c r="F23" s="61">
        <v>182</v>
      </c>
      <c r="G23" s="61">
        <v>177</v>
      </c>
      <c r="H23" s="61">
        <v>171</v>
      </c>
      <c r="I23" s="106" t="s">
        <v>153</v>
      </c>
      <c r="J23" s="105" t="s">
        <v>580</v>
      </c>
      <c r="K23" s="31"/>
      <c r="L23" s="30"/>
      <c r="M23" s="24"/>
      <c r="N23" s="29"/>
      <c r="O23" s="25"/>
    </row>
    <row r="24" spans="1:15" ht="25.5" x14ac:dyDescent="0.2">
      <c r="A24" s="23">
        <f t="shared" si="0"/>
        <v>21</v>
      </c>
      <c r="B24" s="107" t="s">
        <v>581</v>
      </c>
      <c r="C24" s="38" t="s">
        <v>167</v>
      </c>
      <c r="D24" s="38"/>
      <c r="E24" s="60">
        <v>127</v>
      </c>
      <c r="F24" s="61">
        <v>126</v>
      </c>
      <c r="G24" s="61">
        <v>124</v>
      </c>
      <c r="H24" s="61">
        <v>123</v>
      </c>
      <c r="I24" s="106" t="s">
        <v>93</v>
      </c>
      <c r="J24" s="105" t="s">
        <v>582</v>
      </c>
      <c r="K24" s="31" t="s">
        <v>157</v>
      </c>
      <c r="L24" s="30" t="s">
        <v>158</v>
      </c>
      <c r="M24" s="24"/>
      <c r="N24" s="29">
        <v>7.5</v>
      </c>
      <c r="O24" s="25">
        <f>N24*1000/H24</f>
        <v>60.975609756097562</v>
      </c>
    </row>
    <row r="25" spans="1:15" x14ac:dyDescent="0.2">
      <c r="A25" s="23">
        <f t="shared" si="0"/>
        <v>22</v>
      </c>
      <c r="B25" s="107" t="s">
        <v>581</v>
      </c>
      <c r="C25" s="108" t="s">
        <v>167</v>
      </c>
      <c r="D25" s="38"/>
      <c r="E25" s="60">
        <v>127</v>
      </c>
      <c r="F25" s="61">
        <v>126</v>
      </c>
      <c r="G25" s="61">
        <v>124</v>
      </c>
      <c r="H25" s="61">
        <v>123</v>
      </c>
      <c r="I25" s="106" t="s">
        <v>153</v>
      </c>
      <c r="J25" s="105" t="s">
        <v>580</v>
      </c>
      <c r="K25" s="31" t="s">
        <v>157</v>
      </c>
      <c r="L25" s="30" t="s">
        <v>224</v>
      </c>
      <c r="M25" s="24"/>
      <c r="N25" s="29"/>
      <c r="O25" s="25"/>
    </row>
    <row r="26" spans="1:15" ht="25.5" x14ac:dyDescent="0.2">
      <c r="A26" s="23">
        <f t="shared" si="0"/>
        <v>23</v>
      </c>
      <c r="B26" s="107" t="s">
        <v>583</v>
      </c>
      <c r="C26" s="108" t="s">
        <v>584</v>
      </c>
      <c r="D26" s="38"/>
      <c r="E26" s="60"/>
      <c r="F26" s="61"/>
      <c r="G26" s="61"/>
      <c r="H26" s="61"/>
      <c r="I26" s="106" t="s">
        <v>93</v>
      </c>
      <c r="J26" s="105" t="s">
        <v>586</v>
      </c>
      <c r="K26" s="31" t="s">
        <v>157</v>
      </c>
      <c r="L26" s="30" t="s">
        <v>158</v>
      </c>
      <c r="M26" s="24"/>
      <c r="N26" s="29"/>
      <c r="O26" s="25"/>
    </row>
    <row r="27" spans="1:15" ht="25.5" x14ac:dyDescent="0.2">
      <c r="A27" s="23">
        <f t="shared" si="0"/>
        <v>24</v>
      </c>
      <c r="B27" s="107" t="s">
        <v>583</v>
      </c>
      <c r="C27" s="108" t="s">
        <v>584</v>
      </c>
      <c r="D27" s="38"/>
      <c r="E27" s="60"/>
      <c r="F27" s="61"/>
      <c r="G27" s="61"/>
      <c r="H27" s="61"/>
      <c r="I27" s="106" t="s">
        <v>153</v>
      </c>
      <c r="J27" s="105" t="s">
        <v>585</v>
      </c>
      <c r="K27" s="31" t="s">
        <v>157</v>
      </c>
      <c r="L27" s="30" t="s">
        <v>224</v>
      </c>
      <c r="M27" s="24"/>
      <c r="N27" s="29"/>
      <c r="O27" s="25"/>
    </row>
    <row r="28" spans="1:15" ht="25.5" x14ac:dyDescent="0.2">
      <c r="A28" s="23">
        <f t="shared" si="0"/>
        <v>25</v>
      </c>
      <c r="B28" s="107" t="s">
        <v>587</v>
      </c>
      <c r="C28" s="108" t="s">
        <v>588</v>
      </c>
      <c r="D28" s="38"/>
      <c r="E28" s="60"/>
      <c r="F28" s="61"/>
      <c r="G28" s="61"/>
      <c r="H28" s="61"/>
      <c r="I28" s="106" t="s">
        <v>93</v>
      </c>
      <c r="J28" s="105" t="s">
        <v>586</v>
      </c>
      <c r="K28" s="31" t="s">
        <v>157</v>
      </c>
      <c r="L28" s="30" t="s">
        <v>158</v>
      </c>
      <c r="M28" s="24"/>
      <c r="N28" s="29"/>
      <c r="O28" s="25"/>
    </row>
    <row r="29" spans="1:15" x14ac:dyDescent="0.2">
      <c r="A29" s="23">
        <f t="shared" si="0"/>
        <v>26</v>
      </c>
      <c r="B29" s="107" t="s">
        <v>587</v>
      </c>
      <c r="C29" s="108" t="s">
        <v>588</v>
      </c>
      <c r="D29" s="38"/>
      <c r="E29" s="60"/>
      <c r="F29" s="61"/>
      <c r="G29" s="61"/>
      <c r="H29" s="61"/>
      <c r="I29" s="106" t="s">
        <v>153</v>
      </c>
      <c r="J29" s="105" t="s">
        <v>592</v>
      </c>
      <c r="K29" s="31" t="s">
        <v>156</v>
      </c>
      <c r="L29" s="30"/>
      <c r="M29" s="24"/>
      <c r="N29" s="29"/>
      <c r="O29" s="25"/>
    </row>
    <row r="30" spans="1:15" x14ac:dyDescent="0.2">
      <c r="A30" s="23">
        <f t="shared" si="0"/>
        <v>27</v>
      </c>
      <c r="B30" s="107" t="s">
        <v>589</v>
      </c>
      <c r="C30" s="108" t="s">
        <v>588</v>
      </c>
      <c r="D30" s="108" t="s">
        <v>590</v>
      </c>
      <c r="E30" s="60"/>
      <c r="F30" s="61"/>
      <c r="G30" s="61"/>
      <c r="H30" s="61"/>
      <c r="I30" s="106" t="s">
        <v>153</v>
      </c>
      <c r="J30" s="105" t="s">
        <v>591</v>
      </c>
      <c r="K30" s="31" t="s">
        <v>157</v>
      </c>
      <c r="L30" s="30" t="s">
        <v>224</v>
      </c>
      <c r="M30" s="24"/>
      <c r="N30" s="29"/>
      <c r="O30" s="25"/>
    </row>
    <row r="31" spans="1:15" ht="38.25" x14ac:dyDescent="0.2">
      <c r="A31" s="23">
        <f t="shared" si="0"/>
        <v>28</v>
      </c>
      <c r="B31" s="107" t="s">
        <v>593</v>
      </c>
      <c r="C31" s="108" t="s">
        <v>169</v>
      </c>
      <c r="D31" s="108"/>
      <c r="E31" s="60">
        <v>263</v>
      </c>
      <c r="F31" s="61">
        <v>268</v>
      </c>
      <c r="G31" s="61">
        <v>273</v>
      </c>
      <c r="H31" s="61">
        <v>273</v>
      </c>
      <c r="I31" s="106" t="s">
        <v>93</v>
      </c>
      <c r="J31" s="105" t="s">
        <v>595</v>
      </c>
      <c r="K31" s="31" t="s">
        <v>157</v>
      </c>
      <c r="L31" s="30" t="s">
        <v>158</v>
      </c>
      <c r="M31" s="24"/>
      <c r="N31" s="29"/>
      <c r="O31" s="25"/>
    </row>
    <row r="32" spans="1:15" ht="25.5" x14ac:dyDescent="0.2">
      <c r="A32" s="23">
        <f t="shared" si="0"/>
        <v>29</v>
      </c>
      <c r="B32" s="107" t="s">
        <v>593</v>
      </c>
      <c r="C32" s="108" t="s">
        <v>169</v>
      </c>
      <c r="D32" s="108"/>
      <c r="E32" s="60">
        <v>263</v>
      </c>
      <c r="F32" s="61">
        <v>268</v>
      </c>
      <c r="G32" s="61">
        <v>273</v>
      </c>
      <c r="H32" s="61">
        <v>273</v>
      </c>
      <c r="I32" s="106" t="s">
        <v>153</v>
      </c>
      <c r="J32" s="105" t="s">
        <v>596</v>
      </c>
      <c r="K32" s="31" t="s">
        <v>157</v>
      </c>
      <c r="L32" s="30" t="s">
        <v>158</v>
      </c>
      <c r="M32" s="24"/>
      <c r="N32" s="29"/>
      <c r="O32" s="25"/>
    </row>
    <row r="33" spans="1:15" x14ac:dyDescent="0.2">
      <c r="A33" s="23">
        <f t="shared" si="0"/>
        <v>30</v>
      </c>
      <c r="B33" s="37" t="s">
        <v>9</v>
      </c>
      <c r="C33" s="38" t="s">
        <v>169</v>
      </c>
      <c r="D33" s="38" t="s">
        <v>168</v>
      </c>
      <c r="E33" s="60">
        <v>42</v>
      </c>
      <c r="F33" s="61">
        <v>39</v>
      </c>
      <c r="G33" s="61">
        <v>36</v>
      </c>
      <c r="H33" s="61">
        <v>55</v>
      </c>
      <c r="I33" s="106" t="s">
        <v>93</v>
      </c>
      <c r="J33" s="105" t="s">
        <v>597</v>
      </c>
      <c r="K33" s="31" t="s">
        <v>156</v>
      </c>
      <c r="L33" s="30"/>
      <c r="M33" s="24"/>
      <c r="N33" s="29"/>
      <c r="O33" s="25"/>
    </row>
    <row r="34" spans="1:15" x14ac:dyDescent="0.2">
      <c r="A34" s="23">
        <f t="shared" si="0"/>
        <v>31</v>
      </c>
      <c r="B34" s="37" t="s">
        <v>9</v>
      </c>
      <c r="C34" s="38" t="s">
        <v>169</v>
      </c>
      <c r="D34" s="38" t="s">
        <v>168</v>
      </c>
      <c r="E34" s="60">
        <v>42</v>
      </c>
      <c r="F34" s="61">
        <v>39</v>
      </c>
      <c r="G34" s="61">
        <v>36</v>
      </c>
      <c r="H34" s="61">
        <v>55</v>
      </c>
      <c r="I34" s="27" t="s">
        <v>153</v>
      </c>
      <c r="J34" s="105" t="s">
        <v>366</v>
      </c>
      <c r="K34" s="31" t="s">
        <v>157</v>
      </c>
      <c r="L34" s="30" t="s">
        <v>224</v>
      </c>
      <c r="M34" s="24"/>
      <c r="N34" s="29"/>
      <c r="O34" s="25"/>
    </row>
    <row r="35" spans="1:15" ht="38.25" x14ac:dyDescent="0.2">
      <c r="A35" s="23">
        <f t="shared" si="0"/>
        <v>32</v>
      </c>
      <c r="B35" s="107" t="s">
        <v>598</v>
      </c>
      <c r="C35" s="108" t="s">
        <v>599</v>
      </c>
      <c r="D35" s="38"/>
      <c r="E35" s="60">
        <v>14430</v>
      </c>
      <c r="F35" s="61">
        <v>13802</v>
      </c>
      <c r="G35" s="61">
        <v>13016</v>
      </c>
      <c r="H35" s="61">
        <v>15423</v>
      </c>
      <c r="I35" s="106" t="s">
        <v>93</v>
      </c>
      <c r="J35" s="105" t="s">
        <v>603</v>
      </c>
      <c r="K35" s="31" t="s">
        <v>157</v>
      </c>
      <c r="L35" s="30" t="s">
        <v>158</v>
      </c>
      <c r="M35" s="24"/>
      <c r="N35" s="29">
        <f>50.5+5.5+0.5</f>
        <v>56.5</v>
      </c>
      <c r="O35" s="25">
        <f>N35*1000/H35</f>
        <v>3.6633599170070674</v>
      </c>
    </row>
    <row r="36" spans="1:15" ht="25.5" x14ac:dyDescent="0.2">
      <c r="A36" s="23">
        <f t="shared" si="0"/>
        <v>33</v>
      </c>
      <c r="B36" s="107" t="s">
        <v>598</v>
      </c>
      <c r="C36" s="108" t="s">
        <v>599</v>
      </c>
      <c r="D36" s="38"/>
      <c r="E36" s="60">
        <v>14430</v>
      </c>
      <c r="F36" s="61">
        <v>13802</v>
      </c>
      <c r="G36" s="61">
        <v>13016</v>
      </c>
      <c r="H36" s="61">
        <v>15423</v>
      </c>
      <c r="I36" s="106" t="s">
        <v>153</v>
      </c>
      <c r="J36" s="105" t="s">
        <v>604</v>
      </c>
      <c r="K36" s="31" t="s">
        <v>157</v>
      </c>
      <c r="L36" s="30" t="s">
        <v>158</v>
      </c>
      <c r="M36" s="24"/>
      <c r="N36" s="29">
        <v>25</v>
      </c>
      <c r="O36" s="25">
        <f>N36*1000/H36</f>
        <v>1.6209557154898528</v>
      </c>
    </row>
    <row r="37" spans="1:15" ht="29.25" customHeight="1" x14ac:dyDescent="0.2">
      <c r="A37" s="23">
        <f t="shared" si="0"/>
        <v>34</v>
      </c>
      <c r="B37" s="107" t="s">
        <v>600</v>
      </c>
      <c r="C37" s="108" t="s">
        <v>599</v>
      </c>
      <c r="D37" s="108" t="s">
        <v>601</v>
      </c>
      <c r="E37" s="60"/>
      <c r="F37" s="61"/>
      <c r="G37" s="61"/>
      <c r="H37" s="61"/>
      <c r="I37" s="106" t="s">
        <v>93</v>
      </c>
      <c r="J37" s="105" t="s">
        <v>594</v>
      </c>
      <c r="K37" s="31" t="s">
        <v>156</v>
      </c>
      <c r="L37" s="30"/>
      <c r="M37" s="24"/>
      <c r="N37" s="29"/>
      <c r="O37" s="25"/>
    </row>
    <row r="38" spans="1:15" ht="25.5" x14ac:dyDescent="0.2">
      <c r="A38" s="23">
        <f t="shared" si="0"/>
        <v>35</v>
      </c>
      <c r="B38" s="107" t="s">
        <v>602</v>
      </c>
      <c r="C38" s="108" t="s">
        <v>605</v>
      </c>
      <c r="D38" s="38"/>
      <c r="E38" s="60">
        <v>128</v>
      </c>
      <c r="F38" s="61">
        <v>123</v>
      </c>
      <c r="G38" s="61">
        <v>117</v>
      </c>
      <c r="H38" s="61">
        <v>111</v>
      </c>
      <c r="I38" s="106" t="s">
        <v>93</v>
      </c>
      <c r="J38" s="105" t="s">
        <v>618</v>
      </c>
      <c r="K38" s="31" t="s">
        <v>157</v>
      </c>
      <c r="L38" s="30" t="s">
        <v>158</v>
      </c>
      <c r="M38" s="24"/>
      <c r="N38" s="29"/>
      <c r="O38" s="25"/>
    </row>
    <row r="39" spans="1:15" ht="25.5" x14ac:dyDescent="0.2">
      <c r="A39" s="23">
        <f t="shared" si="0"/>
        <v>36</v>
      </c>
      <c r="B39" s="107" t="s">
        <v>602</v>
      </c>
      <c r="C39" s="108" t="s">
        <v>605</v>
      </c>
      <c r="D39" s="38"/>
      <c r="E39" s="60">
        <v>128</v>
      </c>
      <c r="F39" s="61">
        <v>123</v>
      </c>
      <c r="G39" s="61">
        <v>117</v>
      </c>
      <c r="H39" s="61">
        <v>111</v>
      </c>
      <c r="I39" s="106" t="s">
        <v>153</v>
      </c>
      <c r="J39" s="105" t="s">
        <v>617</v>
      </c>
      <c r="K39" s="31" t="s">
        <v>157</v>
      </c>
      <c r="L39" s="30" t="s">
        <v>158</v>
      </c>
      <c r="M39" s="24"/>
      <c r="N39" s="29">
        <f>1.063</f>
        <v>1.0629999999999999</v>
      </c>
      <c r="O39" s="25">
        <f>N39*1000/H39</f>
        <v>9.576576576576576</v>
      </c>
    </row>
    <row r="40" spans="1:15" x14ac:dyDescent="0.2">
      <c r="A40" s="23">
        <f t="shared" si="0"/>
        <v>37</v>
      </c>
      <c r="B40" s="107" t="s">
        <v>606</v>
      </c>
      <c r="C40" s="108" t="s">
        <v>605</v>
      </c>
      <c r="D40" s="108" t="s">
        <v>607</v>
      </c>
      <c r="E40" s="60">
        <v>73</v>
      </c>
      <c r="F40" s="61">
        <v>70</v>
      </c>
      <c r="G40" s="61">
        <v>67</v>
      </c>
      <c r="H40" s="61">
        <v>64</v>
      </c>
      <c r="I40" s="106" t="s">
        <v>93</v>
      </c>
      <c r="J40" s="105" t="s">
        <v>615</v>
      </c>
      <c r="K40" s="31" t="s">
        <v>157</v>
      </c>
      <c r="L40" s="30" t="s">
        <v>224</v>
      </c>
      <c r="M40" s="24"/>
      <c r="N40" s="29"/>
      <c r="O40" s="25"/>
    </row>
    <row r="41" spans="1:15" ht="27.75" customHeight="1" x14ac:dyDescent="0.2">
      <c r="A41" s="23">
        <f t="shared" si="0"/>
        <v>38</v>
      </c>
      <c r="B41" s="107" t="s">
        <v>606</v>
      </c>
      <c r="C41" s="108" t="s">
        <v>605</v>
      </c>
      <c r="D41" s="108" t="s">
        <v>607</v>
      </c>
      <c r="E41" s="60">
        <v>73</v>
      </c>
      <c r="F41" s="61">
        <v>70</v>
      </c>
      <c r="G41" s="61">
        <v>67</v>
      </c>
      <c r="H41" s="61">
        <v>64</v>
      </c>
      <c r="I41" s="106" t="s">
        <v>153</v>
      </c>
      <c r="J41" s="105" t="s">
        <v>616</v>
      </c>
      <c r="K41" s="31" t="s">
        <v>157</v>
      </c>
      <c r="L41" s="30" t="s">
        <v>158</v>
      </c>
      <c r="M41" s="24"/>
      <c r="N41" s="29"/>
      <c r="O41" s="25"/>
    </row>
    <row r="42" spans="1:15" x14ac:dyDescent="0.2">
      <c r="A42" s="23">
        <f t="shared" si="0"/>
        <v>39</v>
      </c>
      <c r="B42" s="107" t="s">
        <v>614</v>
      </c>
      <c r="C42" s="108" t="s">
        <v>608</v>
      </c>
      <c r="D42" s="60"/>
      <c r="E42" s="60">
        <v>80</v>
      </c>
      <c r="F42" s="61">
        <v>81</v>
      </c>
      <c r="G42" s="61">
        <v>82</v>
      </c>
      <c r="H42" s="61">
        <v>83</v>
      </c>
      <c r="I42" s="106" t="s">
        <v>153</v>
      </c>
      <c r="J42" s="105" t="s">
        <v>609</v>
      </c>
      <c r="K42" s="31" t="s">
        <v>157</v>
      </c>
      <c r="L42" s="30" t="s">
        <v>224</v>
      </c>
      <c r="M42" s="24"/>
      <c r="N42" s="29"/>
      <c r="O42" s="25"/>
    </row>
    <row r="43" spans="1:15" ht="30" customHeight="1" x14ac:dyDescent="0.2">
      <c r="A43" s="23">
        <f t="shared" si="0"/>
        <v>40</v>
      </c>
      <c r="B43" s="107" t="s">
        <v>610</v>
      </c>
      <c r="C43" s="108" t="s">
        <v>611</v>
      </c>
      <c r="D43" s="38"/>
      <c r="E43" s="60">
        <v>137</v>
      </c>
      <c r="F43" s="61">
        <v>129</v>
      </c>
      <c r="G43" s="61">
        <v>118</v>
      </c>
      <c r="H43" s="61">
        <v>107</v>
      </c>
      <c r="I43" s="106" t="s">
        <v>93</v>
      </c>
      <c r="J43" s="105" t="s">
        <v>612</v>
      </c>
      <c r="K43" s="31" t="s">
        <v>157</v>
      </c>
      <c r="L43" s="30" t="s">
        <v>224</v>
      </c>
      <c r="M43" s="24"/>
      <c r="N43" s="29">
        <f>2.125+0.5+0.68+0.4+0.32+1.5</f>
        <v>5.5250000000000004</v>
      </c>
      <c r="O43" s="25">
        <f>N43*1000/H43</f>
        <v>51.635514018691588</v>
      </c>
    </row>
    <row r="44" spans="1:15" ht="30" customHeight="1" x14ac:dyDescent="0.2">
      <c r="A44" s="23">
        <f t="shared" si="0"/>
        <v>41</v>
      </c>
      <c r="B44" s="107" t="s">
        <v>610</v>
      </c>
      <c r="C44" s="108" t="s">
        <v>611</v>
      </c>
      <c r="D44" s="38"/>
      <c r="E44" s="60">
        <v>137</v>
      </c>
      <c r="F44" s="61">
        <v>129</v>
      </c>
      <c r="G44" s="61">
        <v>118</v>
      </c>
      <c r="H44" s="61">
        <v>107</v>
      </c>
      <c r="I44" s="106" t="s">
        <v>153</v>
      </c>
      <c r="J44" s="105" t="s">
        <v>613</v>
      </c>
      <c r="K44" s="31" t="s">
        <v>157</v>
      </c>
      <c r="L44" s="30" t="s">
        <v>224</v>
      </c>
      <c r="M44" s="24"/>
      <c r="N44" s="29">
        <f>4.125+1.26+2.4+1.8+0.625+1.44+0.4+0.77+1.2+6</f>
        <v>20.02</v>
      </c>
      <c r="O44" s="25">
        <f>N44*1000/H44</f>
        <v>187.10280373831776</v>
      </c>
    </row>
  </sheetData>
  <autoFilter ref="A3:O44"/>
  <mergeCells count="2">
    <mergeCell ref="M1:N1"/>
    <mergeCell ref="E1:H1"/>
  </mergeCells>
  <phoneticPr fontId="2" type="noConversion"/>
  <conditionalFormatting sqref="A5:A23 A25:A34 A38:A44">
    <cfRule type="cellIs" dxfId="49" priority="1" stopIfTrue="1" operator="equal">
      <formula>A4</formula>
    </cfRule>
  </conditionalFormatting>
  <conditionalFormatting sqref="N4:N44">
    <cfRule type="cellIs" dxfId="48" priority="2" stopIfTrue="1" operator="equal">
      <formula>0</formula>
    </cfRule>
  </conditionalFormatting>
  <conditionalFormatting sqref="A3">
    <cfRule type="cellIs" dxfId="47" priority="3" stopIfTrue="1" operator="equal">
      <formula>#REF!</formula>
    </cfRule>
  </conditionalFormatting>
  <conditionalFormatting sqref="A8:A10 A35:A37">
    <cfRule type="cellIs" dxfId="46" priority="5" stopIfTrue="1" operator="equal">
      <formula>A6</formula>
    </cfRule>
  </conditionalFormatting>
  <conditionalFormatting sqref="A39 A33:A34 A10 A4 A20:A23">
    <cfRule type="cellIs" dxfId="45" priority="7" stopIfTrue="1" operator="equal">
      <formula>#REF!</formula>
    </cfRule>
  </conditionalFormatting>
  <conditionalFormatting sqref="A24 A33:A34">
    <cfRule type="cellIs" dxfId="44" priority="8" stopIfTrue="1" operator="equal">
      <formula>A21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3"/>
  <sheetViews>
    <sheetView zoomScale="90" zoomScaleNormal="90" zoomScaleSheetLayoutView="90" workbookViewId="0">
      <selection activeCell="D17" sqref="D17"/>
    </sheetView>
  </sheetViews>
  <sheetFormatPr defaultRowHeight="12.75" x14ac:dyDescent="0.2"/>
  <cols>
    <col min="1" max="1" width="5.140625" style="1" customWidth="1"/>
    <col min="2" max="2" width="12.85546875" style="1" customWidth="1"/>
    <col min="3" max="3" width="12.5703125" style="1" customWidth="1"/>
    <col min="4" max="4" width="12.28515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42578125" style="1" customWidth="1"/>
    <col min="13" max="13" width="8.85546875" style="1" customWidth="1"/>
    <col min="14" max="15" width="11.42578125" style="1" customWidth="1"/>
    <col min="16" max="16" width="4.42578125" style="1" customWidth="1"/>
    <col min="17" max="18" width="9.140625" style="1"/>
    <col min="19" max="19" width="10.42578125" style="1" customWidth="1"/>
    <col min="20" max="24" width="9.140625" style="1"/>
    <col min="25" max="25" width="10.140625" style="1" bestFit="1" customWidth="1"/>
    <col min="26" max="46" width="9.140625" style="1"/>
    <col min="47" max="47" width="10.140625" style="1" bestFit="1" customWidth="1"/>
    <col min="48" max="48" width="10.140625" style="1" customWidth="1"/>
    <col min="49" max="49" width="11.42578125" style="1" bestFit="1" customWidth="1"/>
    <col min="50" max="50" width="9.140625" style="1"/>
    <col min="51" max="51" width="12.28515625" style="1" bestFit="1" customWidth="1"/>
    <col min="52" max="16384" width="9.140625" style="1"/>
  </cols>
  <sheetData>
    <row r="1" spans="1:79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  <c r="AT1" s="9"/>
      <c r="AU1" s="9"/>
      <c r="AV1" s="9"/>
      <c r="AW1" s="9"/>
      <c r="AX1" s="9"/>
      <c r="AY1" s="9"/>
    </row>
    <row r="2" spans="1:79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79" s="3" customFormat="1" ht="13.5" thickBot="1" x14ac:dyDescent="0.25">
      <c r="A3" s="54"/>
      <c r="B3" s="55"/>
      <c r="C3" s="55" t="s">
        <v>10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s="3" customFormat="1" ht="26.25" customHeight="1" x14ac:dyDescent="0.2">
      <c r="A4" s="99">
        <f t="shared" ref="A4:A35" si="0">IF(B4="",A3,A3+1)</f>
        <v>1</v>
      </c>
      <c r="B4" s="117" t="s">
        <v>466</v>
      </c>
      <c r="C4" s="118" t="s">
        <v>469</v>
      </c>
      <c r="D4" s="91"/>
      <c r="E4" s="92">
        <v>104</v>
      </c>
      <c r="F4" s="93">
        <v>104</v>
      </c>
      <c r="G4" s="93">
        <v>103</v>
      </c>
      <c r="H4" s="93">
        <v>106</v>
      </c>
      <c r="I4" s="119" t="s">
        <v>93</v>
      </c>
      <c r="J4" s="105" t="s">
        <v>475</v>
      </c>
      <c r="K4" s="95" t="s">
        <v>157</v>
      </c>
      <c r="L4" s="96" t="s">
        <v>158</v>
      </c>
      <c r="M4" s="94"/>
      <c r="N4" s="97">
        <v>0.9</v>
      </c>
      <c r="O4" s="98">
        <f>N4*1000/H4</f>
        <v>8.4905660377358494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</row>
    <row r="5" spans="1:79" ht="25.5" x14ac:dyDescent="0.2">
      <c r="A5" s="23">
        <f t="shared" si="0"/>
        <v>2</v>
      </c>
      <c r="B5" s="117" t="s">
        <v>466</v>
      </c>
      <c r="C5" s="118" t="s">
        <v>469</v>
      </c>
      <c r="D5" s="38"/>
      <c r="E5" s="92">
        <v>104</v>
      </c>
      <c r="F5" s="93">
        <v>104</v>
      </c>
      <c r="G5" s="93">
        <v>103</v>
      </c>
      <c r="H5" s="93">
        <v>106</v>
      </c>
      <c r="I5" s="106" t="s">
        <v>153</v>
      </c>
      <c r="J5" s="105" t="s">
        <v>476</v>
      </c>
      <c r="K5" s="95" t="s">
        <v>157</v>
      </c>
      <c r="L5" s="96" t="s">
        <v>158</v>
      </c>
      <c r="M5" s="24"/>
      <c r="N5" s="29">
        <v>1.4950000000000001</v>
      </c>
      <c r="O5" s="25">
        <f>N5*1000/H5</f>
        <v>14.10377358490566</v>
      </c>
    </row>
    <row r="6" spans="1:79" ht="27" customHeight="1" x14ac:dyDescent="0.2">
      <c r="A6" s="23">
        <f t="shared" si="0"/>
        <v>3</v>
      </c>
      <c r="B6" s="117" t="s">
        <v>467</v>
      </c>
      <c r="C6" s="118" t="s">
        <v>469</v>
      </c>
      <c r="D6" s="108" t="s">
        <v>470</v>
      </c>
      <c r="E6" s="60">
        <v>80</v>
      </c>
      <c r="F6" s="61">
        <v>83</v>
      </c>
      <c r="G6" s="61">
        <v>86</v>
      </c>
      <c r="H6" s="61">
        <v>77</v>
      </c>
      <c r="I6" s="119" t="s">
        <v>93</v>
      </c>
      <c r="J6" s="105" t="s">
        <v>473</v>
      </c>
      <c r="K6" s="31" t="s">
        <v>157</v>
      </c>
      <c r="L6" s="30" t="s">
        <v>158</v>
      </c>
      <c r="M6" s="24"/>
      <c r="N6" s="29"/>
      <c r="O6" s="25"/>
    </row>
    <row r="7" spans="1:79" ht="38.25" x14ac:dyDescent="0.2">
      <c r="A7" s="23">
        <f t="shared" si="0"/>
        <v>4</v>
      </c>
      <c r="B7" s="117" t="s">
        <v>467</v>
      </c>
      <c r="C7" s="118" t="s">
        <v>469</v>
      </c>
      <c r="D7" s="108" t="s">
        <v>470</v>
      </c>
      <c r="E7" s="60">
        <v>80</v>
      </c>
      <c r="F7" s="61">
        <v>83</v>
      </c>
      <c r="G7" s="61">
        <v>86</v>
      </c>
      <c r="H7" s="61">
        <v>77</v>
      </c>
      <c r="I7" s="106" t="s">
        <v>153</v>
      </c>
      <c r="J7" s="105" t="s">
        <v>474</v>
      </c>
      <c r="K7" s="31" t="s">
        <v>157</v>
      </c>
      <c r="L7" s="30" t="s">
        <v>158</v>
      </c>
      <c r="M7" s="24"/>
      <c r="N7" s="29"/>
      <c r="O7" s="25"/>
    </row>
    <row r="8" spans="1:79" x14ac:dyDescent="0.2">
      <c r="A8" s="23">
        <f t="shared" si="0"/>
        <v>5</v>
      </c>
      <c r="B8" s="117" t="s">
        <v>468</v>
      </c>
      <c r="C8" s="118" t="s">
        <v>469</v>
      </c>
      <c r="D8" s="108" t="s">
        <v>471</v>
      </c>
      <c r="E8" s="60">
        <v>3</v>
      </c>
      <c r="F8" s="61">
        <v>3</v>
      </c>
      <c r="G8" s="61">
        <v>2</v>
      </c>
      <c r="H8" s="61">
        <v>4</v>
      </c>
      <c r="I8" s="119" t="s">
        <v>462</v>
      </c>
      <c r="J8" s="105" t="s">
        <v>472</v>
      </c>
      <c r="K8" s="31" t="s">
        <v>156</v>
      </c>
      <c r="L8" s="30"/>
      <c r="M8" s="24"/>
      <c r="N8" s="29"/>
      <c r="O8" s="25"/>
    </row>
    <row r="9" spans="1:79" x14ac:dyDescent="0.2">
      <c r="A9" s="23">
        <f t="shared" si="0"/>
        <v>6</v>
      </c>
      <c r="B9" s="37" t="s">
        <v>97</v>
      </c>
      <c r="C9" s="38" t="s">
        <v>43</v>
      </c>
      <c r="D9" s="38"/>
      <c r="E9" s="60">
        <v>225</v>
      </c>
      <c r="F9" s="61">
        <v>234</v>
      </c>
      <c r="G9" s="61">
        <v>245</v>
      </c>
      <c r="H9" s="61">
        <v>256</v>
      </c>
      <c r="I9" s="106" t="s">
        <v>93</v>
      </c>
      <c r="J9" s="105" t="s">
        <v>414</v>
      </c>
      <c r="K9" s="31" t="s">
        <v>157</v>
      </c>
      <c r="L9" s="30" t="s">
        <v>158</v>
      </c>
      <c r="M9" s="24"/>
      <c r="N9" s="29">
        <v>5</v>
      </c>
      <c r="O9" s="25">
        <f>N9*1000/H9</f>
        <v>19.53125</v>
      </c>
    </row>
    <row r="10" spans="1:79" x14ac:dyDescent="0.2">
      <c r="A10" s="23">
        <f t="shared" si="0"/>
        <v>7</v>
      </c>
      <c r="B10" s="37" t="s">
        <v>97</v>
      </c>
      <c r="C10" s="38" t="s">
        <v>43</v>
      </c>
      <c r="D10" s="38"/>
      <c r="E10" s="60">
        <v>225</v>
      </c>
      <c r="F10" s="61">
        <v>234</v>
      </c>
      <c r="G10" s="61">
        <v>245</v>
      </c>
      <c r="H10" s="61">
        <v>256</v>
      </c>
      <c r="I10" s="106" t="s">
        <v>153</v>
      </c>
      <c r="J10" s="105" t="s">
        <v>477</v>
      </c>
      <c r="K10" s="31" t="s">
        <v>157</v>
      </c>
      <c r="L10" s="30" t="s">
        <v>158</v>
      </c>
      <c r="M10" s="24"/>
      <c r="N10" s="29">
        <f>8.082+5</f>
        <v>13.082000000000001</v>
      </c>
      <c r="O10" s="25">
        <f>N10*1000/H10</f>
        <v>51.1015625</v>
      </c>
    </row>
    <row r="11" spans="1:79" ht="38.25" x14ac:dyDescent="0.2">
      <c r="A11" s="23">
        <f t="shared" si="0"/>
        <v>8</v>
      </c>
      <c r="B11" s="107" t="s">
        <v>478</v>
      </c>
      <c r="C11" s="108" t="s">
        <v>481</v>
      </c>
      <c r="D11" s="38"/>
      <c r="E11" s="60">
        <v>89</v>
      </c>
      <c r="F11" s="61">
        <v>91</v>
      </c>
      <c r="G11" s="61">
        <v>93</v>
      </c>
      <c r="H11" s="61">
        <v>95</v>
      </c>
      <c r="I11" s="106" t="s">
        <v>93</v>
      </c>
      <c r="J11" s="44" t="s">
        <v>486</v>
      </c>
      <c r="K11" s="31" t="s">
        <v>157</v>
      </c>
      <c r="L11" s="30" t="s">
        <v>158</v>
      </c>
      <c r="M11" s="24"/>
      <c r="N11" s="29"/>
      <c r="O11" s="25"/>
    </row>
    <row r="12" spans="1:79" ht="27.75" customHeight="1" x14ac:dyDescent="0.2">
      <c r="A12" s="23">
        <f t="shared" si="0"/>
        <v>9</v>
      </c>
      <c r="B12" s="107" t="s">
        <v>478</v>
      </c>
      <c r="C12" s="38" t="s">
        <v>481</v>
      </c>
      <c r="D12" s="38"/>
      <c r="E12" s="60">
        <v>89</v>
      </c>
      <c r="F12" s="61">
        <v>91</v>
      </c>
      <c r="G12" s="61">
        <v>93</v>
      </c>
      <c r="H12" s="61">
        <v>95</v>
      </c>
      <c r="I12" s="106" t="s">
        <v>153</v>
      </c>
      <c r="J12" s="105" t="s">
        <v>484</v>
      </c>
      <c r="K12" s="31" t="s">
        <v>157</v>
      </c>
      <c r="L12" s="30" t="s">
        <v>224</v>
      </c>
      <c r="M12" s="24"/>
      <c r="N12" s="29"/>
      <c r="O12" s="25"/>
    </row>
    <row r="13" spans="1:79" ht="38.25" x14ac:dyDescent="0.2">
      <c r="A13" s="23">
        <f t="shared" si="0"/>
        <v>10</v>
      </c>
      <c r="B13" s="107" t="s">
        <v>479</v>
      </c>
      <c r="C13" s="38" t="s">
        <v>481</v>
      </c>
      <c r="D13" s="108" t="s">
        <v>482</v>
      </c>
      <c r="E13" s="60">
        <v>21</v>
      </c>
      <c r="F13" s="61">
        <v>21</v>
      </c>
      <c r="G13" s="61">
        <v>22</v>
      </c>
      <c r="H13" s="61">
        <v>22</v>
      </c>
      <c r="I13" s="106" t="s">
        <v>93</v>
      </c>
      <c r="J13" s="105" t="s">
        <v>486</v>
      </c>
      <c r="K13" s="31" t="s">
        <v>157</v>
      </c>
      <c r="L13" s="30" t="s">
        <v>158</v>
      </c>
      <c r="M13" s="24"/>
      <c r="N13" s="29"/>
      <c r="O13" s="25"/>
    </row>
    <row r="14" spans="1:79" ht="25.5" x14ac:dyDescent="0.2">
      <c r="A14" s="23">
        <f t="shared" si="0"/>
        <v>11</v>
      </c>
      <c r="B14" s="107" t="s">
        <v>479</v>
      </c>
      <c r="C14" s="38" t="s">
        <v>481</v>
      </c>
      <c r="D14" s="108" t="s">
        <v>482</v>
      </c>
      <c r="E14" s="60">
        <v>21</v>
      </c>
      <c r="F14" s="61">
        <v>21</v>
      </c>
      <c r="G14" s="61">
        <v>22</v>
      </c>
      <c r="H14" s="61">
        <v>22</v>
      </c>
      <c r="I14" s="106" t="s">
        <v>153</v>
      </c>
      <c r="J14" s="44" t="s">
        <v>484</v>
      </c>
      <c r="K14" s="31" t="s">
        <v>157</v>
      </c>
      <c r="L14" s="30" t="s">
        <v>158</v>
      </c>
      <c r="M14" s="24"/>
      <c r="N14" s="29"/>
      <c r="O14" s="25"/>
    </row>
    <row r="15" spans="1:79" ht="38.25" x14ac:dyDescent="0.2">
      <c r="A15" s="23">
        <f t="shared" si="0"/>
        <v>12</v>
      </c>
      <c r="B15" s="107" t="s">
        <v>480</v>
      </c>
      <c r="C15" s="38" t="s">
        <v>481</v>
      </c>
      <c r="D15" s="108" t="s">
        <v>483</v>
      </c>
      <c r="E15" s="60"/>
      <c r="F15" s="61"/>
      <c r="G15" s="61"/>
      <c r="H15" s="61"/>
      <c r="I15" s="106" t="s">
        <v>93</v>
      </c>
      <c r="J15" s="105" t="s">
        <v>485</v>
      </c>
      <c r="K15" s="31" t="s">
        <v>157</v>
      </c>
      <c r="L15" s="30" t="s">
        <v>180</v>
      </c>
      <c r="M15" s="24"/>
      <c r="N15" s="29"/>
      <c r="O15" s="25"/>
    </row>
    <row r="16" spans="1:79" ht="25.5" x14ac:dyDescent="0.2">
      <c r="A16" s="23">
        <f t="shared" si="0"/>
        <v>13</v>
      </c>
      <c r="B16" s="107" t="s">
        <v>480</v>
      </c>
      <c r="C16" s="38" t="s">
        <v>481</v>
      </c>
      <c r="D16" s="108" t="s">
        <v>483</v>
      </c>
      <c r="E16" s="60"/>
      <c r="F16" s="61"/>
      <c r="G16" s="61"/>
      <c r="H16" s="61"/>
      <c r="I16" s="106" t="s">
        <v>153</v>
      </c>
      <c r="J16" s="44" t="s">
        <v>484</v>
      </c>
      <c r="K16" s="31" t="s">
        <v>157</v>
      </c>
      <c r="L16" s="30" t="s">
        <v>158</v>
      </c>
      <c r="M16" s="24"/>
      <c r="N16" s="29"/>
      <c r="O16" s="25"/>
    </row>
    <row r="17" spans="1:15" ht="25.5" x14ac:dyDescent="0.2">
      <c r="A17" s="23">
        <f t="shared" si="0"/>
        <v>14</v>
      </c>
      <c r="B17" s="107" t="s">
        <v>487</v>
      </c>
      <c r="C17" s="108" t="s">
        <v>488</v>
      </c>
      <c r="D17" s="38"/>
      <c r="E17" s="60">
        <v>190</v>
      </c>
      <c r="F17" s="61">
        <v>197</v>
      </c>
      <c r="G17" s="61">
        <v>207</v>
      </c>
      <c r="H17" s="61">
        <v>216</v>
      </c>
      <c r="I17" s="106" t="s">
        <v>93</v>
      </c>
      <c r="J17" s="105" t="s">
        <v>489</v>
      </c>
      <c r="K17" s="31" t="s">
        <v>157</v>
      </c>
      <c r="L17" s="30" t="s">
        <v>158</v>
      </c>
      <c r="M17" s="24"/>
      <c r="N17" s="29"/>
      <c r="O17" s="25"/>
    </row>
    <row r="18" spans="1:15" ht="25.5" x14ac:dyDescent="0.2">
      <c r="A18" s="23">
        <f t="shared" si="0"/>
        <v>15</v>
      </c>
      <c r="B18" s="107" t="s">
        <v>12</v>
      </c>
      <c r="C18" s="108" t="s">
        <v>94</v>
      </c>
      <c r="D18" s="38"/>
      <c r="E18" s="60">
        <v>621</v>
      </c>
      <c r="F18" s="61">
        <v>617</v>
      </c>
      <c r="G18" s="61">
        <v>612</v>
      </c>
      <c r="H18" s="61">
        <v>607</v>
      </c>
      <c r="I18" s="106" t="s">
        <v>93</v>
      </c>
      <c r="J18" s="105" t="s">
        <v>491</v>
      </c>
      <c r="K18" s="31" t="s">
        <v>157</v>
      </c>
      <c r="L18" s="30" t="s">
        <v>158</v>
      </c>
      <c r="M18" s="24"/>
      <c r="N18" s="29"/>
      <c r="O18" s="25"/>
    </row>
    <row r="19" spans="1:15" ht="25.5" x14ac:dyDescent="0.2">
      <c r="A19" s="23">
        <f t="shared" si="0"/>
        <v>16</v>
      </c>
      <c r="B19" s="107" t="s">
        <v>12</v>
      </c>
      <c r="C19" s="108" t="s">
        <v>94</v>
      </c>
      <c r="D19" s="38"/>
      <c r="E19" s="60">
        <v>621</v>
      </c>
      <c r="F19" s="61">
        <v>617</v>
      </c>
      <c r="G19" s="61">
        <v>612</v>
      </c>
      <c r="H19" s="61">
        <v>607</v>
      </c>
      <c r="I19" s="106" t="s">
        <v>153</v>
      </c>
      <c r="J19" s="105" t="s">
        <v>490</v>
      </c>
      <c r="K19" s="31" t="s">
        <v>157</v>
      </c>
      <c r="L19" s="30" t="s">
        <v>158</v>
      </c>
      <c r="M19" s="24"/>
      <c r="N19" s="29">
        <v>10.692</v>
      </c>
      <c r="O19" s="25">
        <f>N19*1000/H19</f>
        <v>17.614497528830313</v>
      </c>
    </row>
    <row r="20" spans="1:15" ht="25.5" x14ac:dyDescent="0.2">
      <c r="A20" s="23">
        <f t="shared" si="0"/>
        <v>17</v>
      </c>
      <c r="B20" s="107" t="s">
        <v>492</v>
      </c>
      <c r="C20" s="108" t="s">
        <v>493</v>
      </c>
      <c r="D20" s="38"/>
      <c r="E20" s="60"/>
      <c r="F20" s="61"/>
      <c r="G20" s="61"/>
      <c r="H20" s="61"/>
      <c r="I20" s="106" t="s">
        <v>153</v>
      </c>
      <c r="J20" s="105" t="s">
        <v>494</v>
      </c>
      <c r="K20" s="31" t="s">
        <v>157</v>
      </c>
      <c r="L20" s="30" t="s">
        <v>224</v>
      </c>
      <c r="M20" s="24"/>
      <c r="N20" s="29"/>
      <c r="O20" s="25"/>
    </row>
    <row r="21" spans="1:15" ht="25.5" x14ac:dyDescent="0.2">
      <c r="A21" s="23">
        <f t="shared" si="0"/>
        <v>18</v>
      </c>
      <c r="B21" s="107" t="s">
        <v>495</v>
      </c>
      <c r="C21" s="108" t="s">
        <v>496</v>
      </c>
      <c r="D21" s="38"/>
      <c r="E21" s="60">
        <v>109</v>
      </c>
      <c r="F21" s="61">
        <v>111</v>
      </c>
      <c r="G21" s="61">
        <v>114</v>
      </c>
      <c r="H21" s="61">
        <v>127</v>
      </c>
      <c r="I21" s="106" t="s">
        <v>153</v>
      </c>
      <c r="J21" s="105" t="s">
        <v>497</v>
      </c>
      <c r="K21" s="31" t="s">
        <v>157</v>
      </c>
      <c r="L21" s="30" t="s">
        <v>158</v>
      </c>
      <c r="M21" s="24"/>
      <c r="N21" s="29"/>
      <c r="O21" s="25"/>
    </row>
    <row r="22" spans="1:15" ht="38.25" x14ac:dyDescent="0.2">
      <c r="A22" s="23">
        <f t="shared" si="0"/>
        <v>19</v>
      </c>
      <c r="B22" s="37" t="s">
        <v>13</v>
      </c>
      <c r="C22" s="38" t="s">
        <v>95</v>
      </c>
      <c r="D22" s="38"/>
      <c r="E22" s="60">
        <v>2258</v>
      </c>
      <c r="F22" s="61">
        <v>2289</v>
      </c>
      <c r="G22" s="61">
        <v>2327</v>
      </c>
      <c r="H22" s="61">
        <v>2365</v>
      </c>
      <c r="I22" s="106" t="s">
        <v>93</v>
      </c>
      <c r="J22" s="105" t="s">
        <v>523</v>
      </c>
      <c r="K22" s="31" t="s">
        <v>157</v>
      </c>
      <c r="L22" s="30" t="s">
        <v>158</v>
      </c>
      <c r="M22" s="24"/>
      <c r="N22" s="29">
        <v>5.0049999999999999</v>
      </c>
      <c r="O22" s="25">
        <f>N22*1000/H22</f>
        <v>2.1162790697674421</v>
      </c>
    </row>
    <row r="23" spans="1:15" ht="25.5" x14ac:dyDescent="0.2">
      <c r="A23" s="23">
        <f t="shared" si="0"/>
        <v>20</v>
      </c>
      <c r="B23" s="37" t="s">
        <v>13</v>
      </c>
      <c r="C23" s="38" t="s">
        <v>95</v>
      </c>
      <c r="D23" s="38"/>
      <c r="E23" s="60">
        <v>2258</v>
      </c>
      <c r="F23" s="61">
        <v>2289</v>
      </c>
      <c r="G23" s="61">
        <v>2327</v>
      </c>
      <c r="H23" s="61">
        <v>2365</v>
      </c>
      <c r="I23" s="27" t="s">
        <v>153</v>
      </c>
      <c r="J23" s="105" t="s">
        <v>524</v>
      </c>
      <c r="K23" s="31" t="s">
        <v>157</v>
      </c>
      <c r="L23" s="30" t="s">
        <v>158</v>
      </c>
      <c r="M23" s="24"/>
      <c r="N23" s="29"/>
      <c r="O23" s="25"/>
    </row>
    <row r="24" spans="1:15" ht="25.5" x14ac:dyDescent="0.2">
      <c r="A24" s="23">
        <f t="shared" si="0"/>
        <v>21</v>
      </c>
      <c r="B24" s="37" t="s">
        <v>498</v>
      </c>
      <c r="C24" s="38" t="s">
        <v>95</v>
      </c>
      <c r="D24" s="108" t="s">
        <v>499</v>
      </c>
      <c r="E24" s="60"/>
      <c r="F24" s="61"/>
      <c r="G24" s="61"/>
      <c r="H24" s="61"/>
      <c r="I24" s="106" t="s">
        <v>153</v>
      </c>
      <c r="J24" s="105" t="s">
        <v>522</v>
      </c>
      <c r="K24" s="31" t="s">
        <v>157</v>
      </c>
      <c r="L24" s="30" t="s">
        <v>158</v>
      </c>
      <c r="M24" s="24"/>
      <c r="N24" s="29"/>
      <c r="O24" s="25"/>
    </row>
    <row r="25" spans="1:15" ht="25.5" x14ac:dyDescent="0.2">
      <c r="A25" s="23">
        <f t="shared" si="0"/>
        <v>22</v>
      </c>
      <c r="B25" s="37" t="s">
        <v>500</v>
      </c>
      <c r="C25" s="38" t="s">
        <v>95</v>
      </c>
      <c r="D25" s="108" t="s">
        <v>502</v>
      </c>
      <c r="E25" s="60"/>
      <c r="F25" s="61"/>
      <c r="G25" s="61"/>
      <c r="H25" s="61"/>
      <c r="I25" s="106" t="s">
        <v>153</v>
      </c>
      <c r="J25" s="105" t="s">
        <v>522</v>
      </c>
      <c r="K25" s="31" t="s">
        <v>157</v>
      </c>
      <c r="L25" s="30" t="s">
        <v>158</v>
      </c>
      <c r="M25" s="24"/>
      <c r="N25" s="29"/>
      <c r="O25" s="25"/>
    </row>
    <row r="26" spans="1:15" ht="25.5" x14ac:dyDescent="0.2">
      <c r="A26" s="23">
        <f t="shared" si="0"/>
        <v>23</v>
      </c>
      <c r="B26" s="37" t="s">
        <v>501</v>
      </c>
      <c r="C26" s="38" t="s">
        <v>95</v>
      </c>
      <c r="D26" s="108" t="s">
        <v>503</v>
      </c>
      <c r="E26" s="60"/>
      <c r="F26" s="61"/>
      <c r="G26" s="61"/>
      <c r="H26" s="61"/>
      <c r="I26" s="106" t="s">
        <v>153</v>
      </c>
      <c r="J26" s="105" t="s">
        <v>522</v>
      </c>
      <c r="K26" s="31" t="s">
        <v>157</v>
      </c>
      <c r="L26" s="30" t="s">
        <v>158</v>
      </c>
      <c r="M26" s="24"/>
      <c r="N26" s="29"/>
      <c r="O26" s="25"/>
    </row>
    <row r="27" spans="1:15" ht="25.5" x14ac:dyDescent="0.2">
      <c r="A27" s="23">
        <f t="shared" si="0"/>
        <v>24</v>
      </c>
      <c r="B27" s="37" t="s">
        <v>505</v>
      </c>
      <c r="C27" s="38" t="s">
        <v>95</v>
      </c>
      <c r="D27" s="108" t="s">
        <v>504</v>
      </c>
      <c r="E27" s="60"/>
      <c r="F27" s="61"/>
      <c r="G27" s="61"/>
      <c r="H27" s="61"/>
      <c r="I27" s="106" t="s">
        <v>153</v>
      </c>
      <c r="J27" s="105" t="s">
        <v>522</v>
      </c>
      <c r="K27" s="31" t="s">
        <v>157</v>
      </c>
      <c r="L27" s="30" t="s">
        <v>158</v>
      </c>
      <c r="M27" s="24"/>
      <c r="N27" s="29"/>
      <c r="O27" s="25"/>
    </row>
    <row r="28" spans="1:15" ht="25.5" x14ac:dyDescent="0.2">
      <c r="A28" s="23">
        <f t="shared" si="0"/>
        <v>25</v>
      </c>
      <c r="B28" s="37" t="s">
        <v>506</v>
      </c>
      <c r="C28" s="38" t="s">
        <v>95</v>
      </c>
      <c r="D28" s="108" t="s">
        <v>507</v>
      </c>
      <c r="E28" s="60"/>
      <c r="F28" s="61"/>
      <c r="G28" s="61"/>
      <c r="H28" s="61"/>
      <c r="I28" s="106" t="s">
        <v>153</v>
      </c>
      <c r="J28" s="105" t="s">
        <v>522</v>
      </c>
      <c r="K28" s="31" t="s">
        <v>157</v>
      </c>
      <c r="L28" s="30" t="s">
        <v>158</v>
      </c>
      <c r="M28" s="24"/>
      <c r="N28" s="29"/>
      <c r="O28" s="25"/>
    </row>
    <row r="29" spans="1:15" ht="25.5" x14ac:dyDescent="0.2">
      <c r="A29" s="23">
        <f t="shared" si="0"/>
        <v>26</v>
      </c>
      <c r="B29" s="37" t="s">
        <v>510</v>
      </c>
      <c r="C29" s="38" t="s">
        <v>95</v>
      </c>
      <c r="D29" s="108" t="s">
        <v>508</v>
      </c>
      <c r="E29" s="60"/>
      <c r="F29" s="61"/>
      <c r="G29" s="61"/>
      <c r="H29" s="61"/>
      <c r="I29" s="106" t="s">
        <v>153</v>
      </c>
      <c r="J29" s="105" t="s">
        <v>522</v>
      </c>
      <c r="K29" s="31" t="s">
        <v>157</v>
      </c>
      <c r="L29" s="30" t="s">
        <v>158</v>
      </c>
      <c r="M29" s="24"/>
      <c r="N29" s="29"/>
      <c r="O29" s="25"/>
    </row>
    <row r="30" spans="1:15" ht="25.5" x14ac:dyDescent="0.2">
      <c r="A30" s="23">
        <f t="shared" si="0"/>
        <v>27</v>
      </c>
      <c r="B30" s="37" t="s">
        <v>511</v>
      </c>
      <c r="C30" s="38" t="s">
        <v>95</v>
      </c>
      <c r="D30" s="108" t="s">
        <v>509</v>
      </c>
      <c r="E30" s="60"/>
      <c r="F30" s="61"/>
      <c r="G30" s="61"/>
      <c r="H30" s="61"/>
      <c r="I30" s="106" t="s">
        <v>153</v>
      </c>
      <c r="J30" s="105" t="s">
        <v>522</v>
      </c>
      <c r="K30" s="31" t="s">
        <v>157</v>
      </c>
      <c r="L30" s="30" t="s">
        <v>158</v>
      </c>
      <c r="M30" s="24"/>
      <c r="N30" s="29"/>
      <c r="O30" s="25"/>
    </row>
    <row r="31" spans="1:15" ht="25.5" x14ac:dyDescent="0.2">
      <c r="A31" s="23">
        <f t="shared" si="0"/>
        <v>28</v>
      </c>
      <c r="B31" s="37" t="s">
        <v>512</v>
      </c>
      <c r="C31" s="38" t="s">
        <v>95</v>
      </c>
      <c r="D31" s="108" t="s">
        <v>513</v>
      </c>
      <c r="E31" s="60"/>
      <c r="F31" s="61"/>
      <c r="G31" s="61"/>
      <c r="H31" s="61"/>
      <c r="I31" s="106" t="s">
        <v>153</v>
      </c>
      <c r="J31" s="105" t="s">
        <v>522</v>
      </c>
      <c r="K31" s="31" t="s">
        <v>157</v>
      </c>
      <c r="L31" s="30" t="s">
        <v>158</v>
      </c>
      <c r="M31" s="24"/>
      <c r="N31" s="29"/>
      <c r="O31" s="25"/>
    </row>
    <row r="32" spans="1:15" ht="25.5" x14ac:dyDescent="0.2">
      <c r="A32" s="23">
        <f t="shared" si="0"/>
        <v>29</v>
      </c>
      <c r="B32" s="37" t="s">
        <v>515</v>
      </c>
      <c r="C32" s="38" t="s">
        <v>95</v>
      </c>
      <c r="D32" s="108" t="s">
        <v>514</v>
      </c>
      <c r="E32" s="60"/>
      <c r="F32" s="61"/>
      <c r="G32" s="61"/>
      <c r="H32" s="61"/>
      <c r="I32" s="106" t="s">
        <v>153</v>
      </c>
      <c r="J32" s="105" t="s">
        <v>522</v>
      </c>
      <c r="K32" s="31" t="s">
        <v>157</v>
      </c>
      <c r="L32" s="30" t="s">
        <v>158</v>
      </c>
      <c r="M32" s="24"/>
      <c r="N32" s="29"/>
      <c r="O32" s="25"/>
    </row>
    <row r="33" spans="1:15" ht="25.5" x14ac:dyDescent="0.2">
      <c r="A33" s="23">
        <f t="shared" si="0"/>
        <v>30</v>
      </c>
      <c r="B33" s="37" t="s">
        <v>516</v>
      </c>
      <c r="C33" s="38" t="s">
        <v>95</v>
      </c>
      <c r="D33" s="108" t="s">
        <v>517</v>
      </c>
      <c r="E33" s="60"/>
      <c r="F33" s="61"/>
      <c r="G33" s="61"/>
      <c r="H33" s="61"/>
      <c r="I33" s="106" t="s">
        <v>153</v>
      </c>
      <c r="J33" s="105" t="s">
        <v>522</v>
      </c>
      <c r="K33" s="31" t="s">
        <v>157</v>
      </c>
      <c r="L33" s="30" t="s">
        <v>158</v>
      </c>
      <c r="M33" s="24"/>
      <c r="N33" s="29"/>
      <c r="O33" s="25"/>
    </row>
    <row r="34" spans="1:15" ht="25.5" x14ac:dyDescent="0.2">
      <c r="A34" s="23">
        <f t="shared" si="0"/>
        <v>31</v>
      </c>
      <c r="B34" s="37" t="s">
        <v>519</v>
      </c>
      <c r="C34" s="38" t="s">
        <v>95</v>
      </c>
      <c r="D34" s="108" t="s">
        <v>518</v>
      </c>
      <c r="E34" s="60"/>
      <c r="F34" s="61"/>
      <c r="G34" s="61"/>
      <c r="H34" s="61"/>
      <c r="I34" s="106" t="s">
        <v>153</v>
      </c>
      <c r="J34" s="105" t="s">
        <v>522</v>
      </c>
      <c r="K34" s="31" t="s">
        <v>157</v>
      </c>
      <c r="L34" s="30" t="s">
        <v>158</v>
      </c>
      <c r="M34" s="24"/>
      <c r="N34" s="29"/>
      <c r="O34" s="25"/>
    </row>
    <row r="35" spans="1:15" ht="25.5" x14ac:dyDescent="0.2">
      <c r="A35" s="23">
        <f t="shared" si="0"/>
        <v>32</v>
      </c>
      <c r="B35" s="37" t="s">
        <v>98</v>
      </c>
      <c r="C35" s="38" t="s">
        <v>95</v>
      </c>
      <c r="D35" s="108" t="s">
        <v>44</v>
      </c>
      <c r="E35" s="60"/>
      <c r="F35" s="61"/>
      <c r="G35" s="61"/>
      <c r="H35" s="61"/>
      <c r="I35" s="106" t="s">
        <v>153</v>
      </c>
      <c r="J35" s="105" t="s">
        <v>522</v>
      </c>
      <c r="K35" s="31" t="s">
        <v>157</v>
      </c>
      <c r="L35" s="30" t="s">
        <v>158</v>
      </c>
      <c r="M35" s="24"/>
      <c r="N35" s="29"/>
      <c r="O35" s="25"/>
    </row>
    <row r="36" spans="1:15" ht="25.5" x14ac:dyDescent="0.2">
      <c r="A36" s="23">
        <f t="shared" ref="A36:A67" si="1">IF(B36="",A35,A35+1)</f>
        <v>33</v>
      </c>
      <c r="B36" s="37" t="s">
        <v>521</v>
      </c>
      <c r="C36" s="38" t="s">
        <v>95</v>
      </c>
      <c r="D36" s="108" t="s">
        <v>520</v>
      </c>
      <c r="E36" s="60"/>
      <c r="F36" s="61"/>
      <c r="G36" s="61"/>
      <c r="H36" s="61"/>
      <c r="I36" s="106" t="s">
        <v>153</v>
      </c>
      <c r="J36" s="105" t="s">
        <v>522</v>
      </c>
      <c r="K36" s="31" t="s">
        <v>157</v>
      </c>
      <c r="L36" s="30" t="s">
        <v>158</v>
      </c>
      <c r="M36" s="24"/>
      <c r="N36" s="29"/>
      <c r="O36" s="25"/>
    </row>
    <row r="37" spans="1:15" x14ac:dyDescent="0.2">
      <c r="A37" s="23">
        <f t="shared" si="1"/>
        <v>34</v>
      </c>
      <c r="B37" s="107" t="s">
        <v>525</v>
      </c>
      <c r="C37" s="108" t="s">
        <v>526</v>
      </c>
      <c r="D37" s="38"/>
      <c r="E37" s="60"/>
      <c r="F37" s="61"/>
      <c r="G37" s="61"/>
      <c r="H37" s="61"/>
      <c r="I37" s="106" t="s">
        <v>93</v>
      </c>
      <c r="J37" s="105" t="s">
        <v>529</v>
      </c>
      <c r="K37" s="31" t="s">
        <v>157</v>
      </c>
      <c r="L37" s="30" t="s">
        <v>224</v>
      </c>
      <c r="M37" s="24"/>
      <c r="N37" s="29"/>
      <c r="O37" s="25"/>
    </row>
    <row r="38" spans="1:15" x14ac:dyDescent="0.2">
      <c r="A38" s="23">
        <f t="shared" si="1"/>
        <v>35</v>
      </c>
      <c r="B38" s="107" t="s">
        <v>525</v>
      </c>
      <c r="C38" s="108" t="s">
        <v>526</v>
      </c>
      <c r="D38" s="38"/>
      <c r="E38" s="60"/>
      <c r="F38" s="61"/>
      <c r="G38" s="61"/>
      <c r="H38" s="61"/>
      <c r="I38" s="106" t="s">
        <v>153</v>
      </c>
      <c r="J38" s="105" t="s">
        <v>357</v>
      </c>
      <c r="K38" s="31" t="s">
        <v>157</v>
      </c>
      <c r="L38" s="30" t="s">
        <v>224</v>
      </c>
      <c r="M38" s="24"/>
      <c r="N38" s="29"/>
      <c r="O38" s="25"/>
    </row>
    <row r="39" spans="1:15" ht="25.5" x14ac:dyDescent="0.2">
      <c r="A39" s="23">
        <f t="shared" si="1"/>
        <v>36</v>
      </c>
      <c r="B39" s="107" t="s">
        <v>527</v>
      </c>
      <c r="C39" s="38" t="s">
        <v>11</v>
      </c>
      <c r="D39" s="108" t="s">
        <v>528</v>
      </c>
      <c r="E39" s="60">
        <v>123</v>
      </c>
      <c r="F39" s="61">
        <v>123</v>
      </c>
      <c r="G39" s="61">
        <v>123</v>
      </c>
      <c r="H39" s="61">
        <v>123</v>
      </c>
      <c r="I39" s="106" t="s">
        <v>153</v>
      </c>
      <c r="J39" s="105" t="s">
        <v>530</v>
      </c>
      <c r="K39" s="31" t="s">
        <v>157</v>
      </c>
      <c r="L39" s="30" t="s">
        <v>224</v>
      </c>
      <c r="M39" s="24"/>
      <c r="N39" s="29">
        <v>21</v>
      </c>
      <c r="O39" s="25">
        <f>N39*1000/H39</f>
        <v>170.73170731707316</v>
      </c>
    </row>
    <row r="40" spans="1:15" ht="25.5" x14ac:dyDescent="0.2">
      <c r="A40" s="23">
        <f t="shared" si="1"/>
        <v>37</v>
      </c>
      <c r="B40" s="107" t="s">
        <v>531</v>
      </c>
      <c r="C40" s="108" t="s">
        <v>532</v>
      </c>
      <c r="D40" s="38"/>
      <c r="E40" s="60">
        <v>245</v>
      </c>
      <c r="F40" s="61">
        <v>232</v>
      </c>
      <c r="G40" s="61">
        <v>215</v>
      </c>
      <c r="H40" s="61">
        <v>198</v>
      </c>
      <c r="I40" s="106" t="s">
        <v>153</v>
      </c>
      <c r="J40" s="105" t="s">
        <v>533</v>
      </c>
      <c r="K40" s="31" t="s">
        <v>157</v>
      </c>
      <c r="L40" s="30" t="s">
        <v>158</v>
      </c>
      <c r="M40" s="24"/>
      <c r="N40" s="29">
        <v>14</v>
      </c>
      <c r="O40" s="25">
        <f>N40*1000/H40</f>
        <v>70.707070707070713</v>
      </c>
    </row>
    <row r="41" spans="1:15" x14ac:dyDescent="0.2">
      <c r="A41" s="23">
        <f t="shared" si="1"/>
        <v>38</v>
      </c>
      <c r="B41" s="37" t="s">
        <v>99</v>
      </c>
      <c r="C41" s="38" t="s">
        <v>45</v>
      </c>
      <c r="D41" s="38"/>
      <c r="E41" s="60">
        <v>244</v>
      </c>
      <c r="F41" s="61">
        <v>256</v>
      </c>
      <c r="G41" s="61">
        <v>271</v>
      </c>
      <c r="H41" s="61">
        <v>270</v>
      </c>
      <c r="I41" s="27" t="s">
        <v>153</v>
      </c>
      <c r="J41" s="105" t="s">
        <v>534</v>
      </c>
      <c r="K41" s="31" t="s">
        <v>156</v>
      </c>
      <c r="L41" s="30"/>
      <c r="M41" s="24"/>
      <c r="N41" s="29">
        <f>5.22+4.03</f>
        <v>9.25</v>
      </c>
      <c r="O41" s="25">
        <f>N41*1000/H41</f>
        <v>34.25925925925926</v>
      </c>
    </row>
    <row r="42" spans="1:15" x14ac:dyDescent="0.2">
      <c r="A42" s="23">
        <f t="shared" si="1"/>
        <v>39</v>
      </c>
      <c r="B42" s="37" t="s">
        <v>535</v>
      </c>
      <c r="C42" s="38" t="s">
        <v>45</v>
      </c>
      <c r="D42" s="108" t="s">
        <v>536</v>
      </c>
      <c r="E42" s="60">
        <v>17</v>
      </c>
      <c r="F42" s="61">
        <v>15</v>
      </c>
      <c r="G42" s="61">
        <v>14</v>
      </c>
      <c r="H42" s="61">
        <v>12</v>
      </c>
      <c r="I42" s="106" t="s">
        <v>462</v>
      </c>
      <c r="J42" s="105" t="s">
        <v>537</v>
      </c>
      <c r="K42" s="31" t="s">
        <v>156</v>
      </c>
      <c r="L42" s="30"/>
      <c r="M42" s="24"/>
      <c r="N42" s="29"/>
      <c r="O42" s="25"/>
    </row>
    <row r="43" spans="1:15" x14ac:dyDescent="0.2">
      <c r="A43" s="23">
        <f t="shared" si="1"/>
        <v>40</v>
      </c>
      <c r="B43" s="37" t="s">
        <v>136</v>
      </c>
      <c r="C43" s="38" t="s">
        <v>96</v>
      </c>
      <c r="D43" s="38"/>
      <c r="E43" s="60">
        <v>350</v>
      </c>
      <c r="F43" s="61">
        <v>339</v>
      </c>
      <c r="G43" s="61">
        <v>325</v>
      </c>
      <c r="H43" s="61">
        <v>311</v>
      </c>
      <c r="I43" s="106" t="s">
        <v>93</v>
      </c>
      <c r="J43" s="105" t="s">
        <v>548</v>
      </c>
      <c r="K43" s="31" t="s">
        <v>157</v>
      </c>
      <c r="L43" s="30" t="s">
        <v>158</v>
      </c>
      <c r="M43" s="24"/>
      <c r="N43" s="29"/>
      <c r="O43" s="25"/>
    </row>
    <row r="44" spans="1:15" x14ac:dyDescent="0.2">
      <c r="A44" s="23">
        <f t="shared" si="1"/>
        <v>41</v>
      </c>
      <c r="B44" s="37" t="s">
        <v>538</v>
      </c>
      <c r="C44" s="38" t="s">
        <v>96</v>
      </c>
      <c r="D44" s="38"/>
      <c r="E44" s="60">
        <v>350</v>
      </c>
      <c r="F44" s="61">
        <v>339</v>
      </c>
      <c r="G44" s="61">
        <v>325</v>
      </c>
      <c r="H44" s="61">
        <v>311</v>
      </c>
      <c r="I44" s="27" t="s">
        <v>153</v>
      </c>
      <c r="J44" s="105" t="s">
        <v>549</v>
      </c>
      <c r="K44" s="31" t="s">
        <v>157</v>
      </c>
      <c r="L44" s="30" t="s">
        <v>158</v>
      </c>
      <c r="M44" s="24"/>
      <c r="N44" s="29"/>
      <c r="O44" s="25"/>
    </row>
    <row r="45" spans="1:15" ht="25.5" x14ac:dyDescent="0.2">
      <c r="A45" s="23">
        <f t="shared" si="1"/>
        <v>42</v>
      </c>
      <c r="B45" s="107" t="s">
        <v>538</v>
      </c>
      <c r="C45" s="108" t="s">
        <v>96</v>
      </c>
      <c r="D45" s="108" t="s">
        <v>539</v>
      </c>
      <c r="E45" s="60">
        <v>26</v>
      </c>
      <c r="F45" s="61">
        <v>26</v>
      </c>
      <c r="G45" s="61">
        <v>27</v>
      </c>
      <c r="H45" s="61">
        <v>27</v>
      </c>
      <c r="I45" s="106" t="s">
        <v>93</v>
      </c>
      <c r="J45" s="105" t="s">
        <v>546</v>
      </c>
      <c r="K45" s="31" t="s">
        <v>157</v>
      </c>
      <c r="L45" s="30" t="s">
        <v>224</v>
      </c>
      <c r="M45" s="24"/>
      <c r="N45" s="29">
        <v>3.1</v>
      </c>
      <c r="O45" s="25">
        <f t="shared" ref="O45:O53" si="2">N45*1000/H45</f>
        <v>114.81481481481481</v>
      </c>
    </row>
    <row r="46" spans="1:15" x14ac:dyDescent="0.2">
      <c r="A46" s="23">
        <f t="shared" si="1"/>
        <v>43</v>
      </c>
      <c r="B46" s="107" t="s">
        <v>538</v>
      </c>
      <c r="C46" s="108" t="s">
        <v>96</v>
      </c>
      <c r="D46" s="108" t="s">
        <v>539</v>
      </c>
      <c r="E46" s="60">
        <v>26</v>
      </c>
      <c r="F46" s="61">
        <v>26</v>
      </c>
      <c r="G46" s="61">
        <v>27</v>
      </c>
      <c r="H46" s="61">
        <v>27</v>
      </c>
      <c r="I46" s="106" t="s">
        <v>153</v>
      </c>
      <c r="J46" s="105" t="s">
        <v>545</v>
      </c>
      <c r="K46" s="31" t="s">
        <v>156</v>
      </c>
      <c r="L46" s="30"/>
      <c r="M46" s="24"/>
      <c r="N46" s="29">
        <v>5</v>
      </c>
      <c r="O46" s="25">
        <f t="shared" si="2"/>
        <v>185.18518518518519</v>
      </c>
    </row>
    <row r="47" spans="1:15" ht="25.5" x14ac:dyDescent="0.2">
      <c r="A47" s="23">
        <f t="shared" si="1"/>
        <v>44</v>
      </c>
      <c r="B47" s="107" t="s">
        <v>541</v>
      </c>
      <c r="C47" s="108" t="s">
        <v>96</v>
      </c>
      <c r="D47" s="108" t="s">
        <v>540</v>
      </c>
      <c r="E47" s="60">
        <v>72</v>
      </c>
      <c r="F47" s="61">
        <v>68</v>
      </c>
      <c r="G47" s="61">
        <v>63</v>
      </c>
      <c r="H47" s="61">
        <v>70</v>
      </c>
      <c r="I47" s="106" t="s">
        <v>93</v>
      </c>
      <c r="J47" s="105" t="s">
        <v>546</v>
      </c>
      <c r="K47" s="31" t="s">
        <v>157</v>
      </c>
      <c r="L47" s="30" t="s">
        <v>224</v>
      </c>
      <c r="M47" s="24"/>
      <c r="N47" s="29">
        <v>4.5999999999999996</v>
      </c>
      <c r="O47" s="25">
        <f t="shared" si="2"/>
        <v>65.714285714285708</v>
      </c>
    </row>
    <row r="48" spans="1:15" x14ac:dyDescent="0.2">
      <c r="A48" s="23">
        <f t="shared" si="1"/>
        <v>45</v>
      </c>
      <c r="B48" s="107" t="s">
        <v>541</v>
      </c>
      <c r="C48" s="108" t="s">
        <v>96</v>
      </c>
      <c r="D48" s="108" t="s">
        <v>540</v>
      </c>
      <c r="E48" s="60">
        <v>72</v>
      </c>
      <c r="F48" s="61">
        <v>68</v>
      </c>
      <c r="G48" s="61">
        <v>63</v>
      </c>
      <c r="H48" s="61">
        <v>70</v>
      </c>
      <c r="I48" s="106" t="s">
        <v>153</v>
      </c>
      <c r="J48" s="105" t="s">
        <v>545</v>
      </c>
      <c r="K48" s="31" t="s">
        <v>156</v>
      </c>
      <c r="L48" s="30"/>
      <c r="M48" s="24"/>
      <c r="N48" s="29">
        <v>1.1000000000000001</v>
      </c>
      <c r="O48" s="25">
        <f t="shared" si="2"/>
        <v>15.714285714285714</v>
      </c>
    </row>
    <row r="49" spans="1:15" ht="25.5" x14ac:dyDescent="0.2">
      <c r="A49" s="23">
        <f t="shared" si="1"/>
        <v>46</v>
      </c>
      <c r="B49" s="107" t="s">
        <v>542</v>
      </c>
      <c r="C49" s="108" t="s">
        <v>96</v>
      </c>
      <c r="D49" s="108" t="s">
        <v>543</v>
      </c>
      <c r="E49" s="60">
        <v>79</v>
      </c>
      <c r="F49" s="61">
        <v>76</v>
      </c>
      <c r="G49" s="61">
        <v>73</v>
      </c>
      <c r="H49" s="61">
        <v>70</v>
      </c>
      <c r="I49" s="106" t="s">
        <v>93</v>
      </c>
      <c r="J49" s="105" t="s">
        <v>546</v>
      </c>
      <c r="K49" s="31" t="s">
        <v>157</v>
      </c>
      <c r="L49" s="30" t="s">
        <v>224</v>
      </c>
      <c r="M49" s="24"/>
      <c r="N49" s="29">
        <f>0.2+7.5</f>
        <v>7.7</v>
      </c>
      <c r="O49" s="25">
        <f t="shared" si="2"/>
        <v>110</v>
      </c>
    </row>
    <row r="50" spans="1:15" ht="25.5" x14ac:dyDescent="0.2">
      <c r="A50" s="23">
        <f t="shared" si="1"/>
        <v>47</v>
      </c>
      <c r="B50" s="107" t="s">
        <v>544</v>
      </c>
      <c r="C50" s="108" t="s">
        <v>96</v>
      </c>
      <c r="D50" s="108" t="s">
        <v>63</v>
      </c>
      <c r="E50" s="60">
        <v>84</v>
      </c>
      <c r="F50" s="60">
        <v>84</v>
      </c>
      <c r="G50" s="60">
        <v>84</v>
      </c>
      <c r="H50" s="60">
        <v>84</v>
      </c>
      <c r="I50" s="106" t="s">
        <v>93</v>
      </c>
      <c r="J50" s="105" t="s">
        <v>546</v>
      </c>
      <c r="K50" s="31" t="s">
        <v>157</v>
      </c>
      <c r="L50" s="30" t="s">
        <v>224</v>
      </c>
      <c r="M50" s="24"/>
      <c r="N50" s="29">
        <v>3.6</v>
      </c>
      <c r="O50" s="25">
        <f t="shared" si="2"/>
        <v>42.857142857142854</v>
      </c>
    </row>
    <row r="51" spans="1:15" ht="38.25" x14ac:dyDescent="0.2">
      <c r="A51" s="23">
        <f t="shared" si="1"/>
        <v>48</v>
      </c>
      <c r="B51" s="107" t="s">
        <v>544</v>
      </c>
      <c r="C51" s="108" t="s">
        <v>96</v>
      </c>
      <c r="D51" s="108" t="s">
        <v>63</v>
      </c>
      <c r="E51" s="60">
        <v>84</v>
      </c>
      <c r="F51" s="60">
        <v>84</v>
      </c>
      <c r="G51" s="60">
        <v>84</v>
      </c>
      <c r="H51" s="60">
        <v>84</v>
      </c>
      <c r="I51" s="106" t="s">
        <v>153</v>
      </c>
      <c r="J51" s="105" t="s">
        <v>547</v>
      </c>
      <c r="K51" s="31" t="s">
        <v>157</v>
      </c>
      <c r="L51" s="30" t="s">
        <v>158</v>
      </c>
      <c r="M51" s="24"/>
      <c r="N51" s="29">
        <v>7.5</v>
      </c>
      <c r="O51" s="25">
        <f t="shared" si="2"/>
        <v>89.285714285714292</v>
      </c>
    </row>
    <row r="52" spans="1:15" ht="25.5" x14ac:dyDescent="0.2">
      <c r="A52" s="23">
        <f t="shared" si="1"/>
        <v>49</v>
      </c>
      <c r="B52" s="107" t="s">
        <v>550</v>
      </c>
      <c r="C52" s="108" t="s">
        <v>551</v>
      </c>
      <c r="D52" s="38"/>
      <c r="E52" s="60">
        <v>241</v>
      </c>
      <c r="F52" s="61">
        <v>255</v>
      </c>
      <c r="G52" s="61">
        <v>272</v>
      </c>
      <c r="H52" s="61">
        <v>289</v>
      </c>
      <c r="I52" s="106" t="s">
        <v>93</v>
      </c>
      <c r="J52" s="105" t="s">
        <v>553</v>
      </c>
      <c r="K52" s="31" t="s">
        <v>157</v>
      </c>
      <c r="L52" s="30" t="s">
        <v>158</v>
      </c>
      <c r="M52" s="24"/>
      <c r="N52" s="29">
        <v>1.71</v>
      </c>
      <c r="O52" s="25">
        <f t="shared" si="2"/>
        <v>5.9169550173010377</v>
      </c>
    </row>
    <row r="53" spans="1:15" ht="26.25" thickBot="1" x14ac:dyDescent="0.25">
      <c r="A53" s="23">
        <f t="shared" si="1"/>
        <v>50</v>
      </c>
      <c r="B53" s="113" t="s">
        <v>550</v>
      </c>
      <c r="C53" s="114" t="s">
        <v>551</v>
      </c>
      <c r="D53" s="79"/>
      <c r="E53" s="60">
        <v>241</v>
      </c>
      <c r="F53" s="61">
        <v>255</v>
      </c>
      <c r="G53" s="61">
        <v>272</v>
      </c>
      <c r="H53" s="61">
        <v>289</v>
      </c>
      <c r="I53" s="115" t="s">
        <v>153</v>
      </c>
      <c r="J53" s="105" t="s">
        <v>552</v>
      </c>
      <c r="K53" s="74" t="s">
        <v>156</v>
      </c>
      <c r="L53" s="75"/>
      <c r="M53" s="71"/>
      <c r="N53" s="77">
        <v>3.7</v>
      </c>
      <c r="O53" s="76">
        <f t="shared" si="2"/>
        <v>12.802768166089965</v>
      </c>
    </row>
  </sheetData>
  <autoFilter ref="A3:O53"/>
  <mergeCells count="2">
    <mergeCell ref="M1:N1"/>
    <mergeCell ref="E1:H1"/>
  </mergeCells>
  <phoneticPr fontId="2" type="noConversion"/>
  <conditionalFormatting sqref="A4:A8 A12:A53">
    <cfRule type="cellIs" dxfId="43" priority="1" stopIfTrue="1" operator="equal">
      <formula>A3</formula>
    </cfRule>
  </conditionalFormatting>
  <conditionalFormatting sqref="N4:N53">
    <cfRule type="cellIs" dxfId="42" priority="2" stopIfTrue="1" operator="equal">
      <formula>0</formula>
    </cfRule>
  </conditionalFormatting>
  <conditionalFormatting sqref="A3">
    <cfRule type="cellIs" dxfId="41" priority="3" stopIfTrue="1" operator="equal">
      <formula>#REF!</formula>
    </cfRule>
  </conditionalFormatting>
  <conditionalFormatting sqref="A9:A10">
    <cfRule type="cellIs" dxfId="40" priority="5" stopIfTrue="1" operator="equal">
      <formula>A5</formula>
    </cfRule>
  </conditionalFormatting>
  <conditionalFormatting sqref="A8 A52:A53">
    <cfRule type="cellIs" dxfId="39" priority="7" stopIfTrue="1" operator="equal">
      <formula>A5</formula>
    </cfRule>
  </conditionalFormatting>
  <conditionalFormatting sqref="A11 A53">
    <cfRule type="cellIs" dxfId="38" priority="8" stopIfTrue="1" operator="equal">
      <formula>A9</formula>
    </cfRule>
  </conditionalFormatting>
  <conditionalFormatting sqref="A53 A22:A38 A41:A44">
    <cfRule type="cellIs" dxfId="37" priority="10" stopIfTrue="1" operator="equal">
      <formula>#REF!</formula>
    </cfRule>
  </conditionalFormatting>
  <conditionalFormatting sqref="A37">
    <cfRule type="cellIs" dxfId="36" priority="14" stopIfTrue="1" operator="equal">
      <formula>A31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2"/>
  <sheetViews>
    <sheetView zoomScale="90" zoomScaleNormal="90" zoomScaleSheetLayoutView="90" workbookViewId="0">
      <selection activeCell="J1" sqref="J1"/>
    </sheetView>
  </sheetViews>
  <sheetFormatPr defaultRowHeight="12.75" x14ac:dyDescent="0.2"/>
  <cols>
    <col min="1" max="1" width="5.28515625" style="1" customWidth="1"/>
    <col min="2" max="2" width="13.140625" style="1" customWidth="1"/>
    <col min="3" max="3" width="12.85546875" style="1" customWidth="1"/>
    <col min="4" max="4" width="13.140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140625" style="1" customWidth="1"/>
    <col min="13" max="13" width="8.85546875" style="1" customWidth="1"/>
    <col min="14" max="14" width="10.85546875" style="1" customWidth="1"/>
    <col min="15" max="15" width="11.42578125" style="1" customWidth="1"/>
    <col min="16" max="16" width="4.42578125" style="1" customWidth="1"/>
    <col min="17" max="18" width="9.140625" style="1"/>
    <col min="19" max="19" width="10.42578125" style="1" customWidth="1"/>
    <col min="20" max="24" width="9.140625" style="1"/>
    <col min="25" max="25" width="10.140625" style="1" bestFit="1" customWidth="1"/>
    <col min="26" max="46" width="9.140625" style="1"/>
    <col min="47" max="47" width="10.140625" style="1" bestFit="1" customWidth="1"/>
    <col min="48" max="48" width="10.140625" style="1" customWidth="1"/>
    <col min="49" max="49" width="11.42578125" style="1" bestFit="1" customWidth="1"/>
    <col min="50" max="50" width="9.140625" style="1"/>
    <col min="51" max="51" width="12.28515625" style="1" bestFit="1" customWidth="1"/>
    <col min="52" max="16384" width="9.140625" style="1"/>
  </cols>
  <sheetData>
    <row r="1" spans="1:79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  <c r="AT1" s="9"/>
      <c r="AU1" s="9"/>
      <c r="AV1" s="9"/>
      <c r="AW1" s="9"/>
      <c r="AX1" s="9"/>
      <c r="AY1" s="9"/>
    </row>
    <row r="2" spans="1:79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79" s="3" customFormat="1" ht="13.5" thickBot="1" x14ac:dyDescent="0.25">
      <c r="A3" s="54"/>
      <c r="B3" s="55"/>
      <c r="C3" s="55" t="s">
        <v>246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25.5" x14ac:dyDescent="0.2">
      <c r="A4" s="23">
        <v>1</v>
      </c>
      <c r="B4" s="37" t="s">
        <v>247</v>
      </c>
      <c r="C4" s="38" t="s">
        <v>231</v>
      </c>
      <c r="D4" s="38"/>
      <c r="E4" s="60">
        <v>411</v>
      </c>
      <c r="F4" s="61">
        <v>411</v>
      </c>
      <c r="G4" s="61">
        <v>412</v>
      </c>
      <c r="H4" s="61">
        <v>412</v>
      </c>
      <c r="I4" s="27" t="s">
        <v>93</v>
      </c>
      <c r="J4" s="105" t="s">
        <v>448</v>
      </c>
      <c r="K4" s="31" t="s">
        <v>157</v>
      </c>
      <c r="L4" s="30" t="s">
        <v>158</v>
      </c>
      <c r="M4" s="24"/>
      <c r="N4" s="29"/>
      <c r="O4" s="25"/>
    </row>
    <row r="5" spans="1:79" ht="25.5" x14ac:dyDescent="0.2">
      <c r="A5" s="23">
        <f t="shared" ref="A5:A42" si="0">IF(B5="",A4,A4+1)</f>
        <v>2</v>
      </c>
      <c r="B5" s="37" t="s">
        <v>248</v>
      </c>
      <c r="C5" s="38" t="s">
        <v>231</v>
      </c>
      <c r="D5" s="38" t="s">
        <v>227</v>
      </c>
      <c r="E5" s="60">
        <v>5</v>
      </c>
      <c r="F5" s="61">
        <v>5</v>
      </c>
      <c r="G5" s="61">
        <v>4</v>
      </c>
      <c r="H5" s="61">
        <v>3</v>
      </c>
      <c r="I5" s="27" t="s">
        <v>93</v>
      </c>
      <c r="J5" s="105" t="s">
        <v>446</v>
      </c>
      <c r="K5" s="31" t="s">
        <v>157</v>
      </c>
      <c r="L5" s="30" t="s">
        <v>158</v>
      </c>
      <c r="M5" s="24"/>
      <c r="N5" s="29"/>
      <c r="O5" s="25"/>
    </row>
    <row r="6" spans="1:79" ht="25.5" x14ac:dyDescent="0.2">
      <c r="A6" s="23">
        <f t="shared" si="0"/>
        <v>3</v>
      </c>
      <c r="B6" s="37" t="s">
        <v>249</v>
      </c>
      <c r="C6" s="38" t="s">
        <v>231</v>
      </c>
      <c r="D6" s="38" t="s">
        <v>228</v>
      </c>
      <c r="E6" s="60">
        <v>149</v>
      </c>
      <c r="F6" s="61">
        <v>144</v>
      </c>
      <c r="G6" s="61">
        <v>137</v>
      </c>
      <c r="H6" s="61">
        <v>131</v>
      </c>
      <c r="I6" s="27" t="s">
        <v>93</v>
      </c>
      <c r="J6" s="105" t="s">
        <v>446</v>
      </c>
      <c r="K6" s="31" t="s">
        <v>157</v>
      </c>
      <c r="L6" s="30" t="s">
        <v>158</v>
      </c>
      <c r="M6" s="24"/>
      <c r="N6" s="29"/>
      <c r="O6" s="25"/>
    </row>
    <row r="7" spans="1:79" ht="25.5" x14ac:dyDescent="0.2">
      <c r="A7" s="23">
        <f t="shared" si="0"/>
        <v>4</v>
      </c>
      <c r="B7" s="37" t="s">
        <v>442</v>
      </c>
      <c r="C7" s="38" t="s">
        <v>231</v>
      </c>
      <c r="D7" s="108" t="s">
        <v>443</v>
      </c>
      <c r="E7" s="60">
        <v>57</v>
      </c>
      <c r="F7" s="61">
        <v>56</v>
      </c>
      <c r="G7" s="61">
        <v>54</v>
      </c>
      <c r="H7" s="61">
        <v>52</v>
      </c>
      <c r="I7" s="27" t="s">
        <v>93</v>
      </c>
      <c r="J7" s="105" t="s">
        <v>447</v>
      </c>
      <c r="K7" s="31" t="s">
        <v>157</v>
      </c>
      <c r="L7" s="30" t="s">
        <v>158</v>
      </c>
      <c r="M7" s="24"/>
      <c r="N7" s="29"/>
      <c r="O7" s="25"/>
    </row>
    <row r="8" spans="1:79" ht="25.5" x14ac:dyDescent="0.2">
      <c r="A8" s="23">
        <f t="shared" si="0"/>
        <v>5</v>
      </c>
      <c r="B8" s="37" t="s">
        <v>444</v>
      </c>
      <c r="C8" s="38" t="s">
        <v>231</v>
      </c>
      <c r="D8" s="108" t="s">
        <v>445</v>
      </c>
      <c r="E8" s="60">
        <v>80</v>
      </c>
      <c r="F8" s="61">
        <v>74</v>
      </c>
      <c r="G8" s="61">
        <v>66</v>
      </c>
      <c r="H8" s="61">
        <v>58</v>
      </c>
      <c r="I8" s="106" t="s">
        <v>93</v>
      </c>
      <c r="J8" s="105" t="s">
        <v>450</v>
      </c>
      <c r="K8" s="31" t="s">
        <v>157</v>
      </c>
      <c r="L8" s="30" t="s">
        <v>158</v>
      </c>
      <c r="M8" s="24"/>
      <c r="N8" s="29">
        <v>14</v>
      </c>
      <c r="O8" s="25">
        <f>N8*1000/H8</f>
        <v>241.37931034482759</v>
      </c>
    </row>
    <row r="9" spans="1:79" ht="25.5" x14ac:dyDescent="0.2">
      <c r="A9" s="23">
        <f t="shared" si="0"/>
        <v>6</v>
      </c>
      <c r="B9" s="37" t="s">
        <v>444</v>
      </c>
      <c r="C9" s="38" t="s">
        <v>231</v>
      </c>
      <c r="D9" s="108" t="s">
        <v>445</v>
      </c>
      <c r="E9" s="60">
        <v>80</v>
      </c>
      <c r="F9" s="61">
        <v>74</v>
      </c>
      <c r="G9" s="61">
        <v>66</v>
      </c>
      <c r="H9" s="61">
        <v>58</v>
      </c>
      <c r="I9" s="106" t="s">
        <v>153</v>
      </c>
      <c r="J9" s="105" t="s">
        <v>449</v>
      </c>
      <c r="K9" s="31" t="s">
        <v>157</v>
      </c>
      <c r="L9" s="30" t="s">
        <v>224</v>
      </c>
      <c r="M9" s="24"/>
      <c r="N9" s="29"/>
      <c r="O9" s="25"/>
    </row>
    <row r="10" spans="1:79" ht="25.5" x14ac:dyDescent="0.2">
      <c r="A10" s="23">
        <f t="shared" si="0"/>
        <v>7</v>
      </c>
      <c r="B10" s="37" t="s">
        <v>250</v>
      </c>
      <c r="C10" s="38" t="s">
        <v>231</v>
      </c>
      <c r="D10" s="38" t="s">
        <v>229</v>
      </c>
      <c r="E10" s="60">
        <v>23</v>
      </c>
      <c r="F10" s="61">
        <v>22</v>
      </c>
      <c r="G10" s="61">
        <v>20</v>
      </c>
      <c r="H10" s="61">
        <v>18</v>
      </c>
      <c r="I10" s="27" t="s">
        <v>93</v>
      </c>
      <c r="J10" s="105" t="s">
        <v>446</v>
      </c>
      <c r="K10" s="31" t="s">
        <v>157</v>
      </c>
      <c r="L10" s="30" t="s">
        <v>158</v>
      </c>
      <c r="M10" s="24"/>
      <c r="N10" s="29"/>
      <c r="O10" s="25"/>
    </row>
    <row r="11" spans="1:79" ht="25.5" x14ac:dyDescent="0.2">
      <c r="A11" s="23">
        <f t="shared" si="0"/>
        <v>8</v>
      </c>
      <c r="B11" s="37" t="s">
        <v>251</v>
      </c>
      <c r="C11" s="38" t="s">
        <v>231</v>
      </c>
      <c r="D11" s="38" t="s">
        <v>230</v>
      </c>
      <c r="E11" s="60">
        <v>109</v>
      </c>
      <c r="F11" s="61">
        <v>107</v>
      </c>
      <c r="G11" s="61">
        <v>104</v>
      </c>
      <c r="H11" s="61">
        <v>101</v>
      </c>
      <c r="I11" s="27" t="s">
        <v>93</v>
      </c>
      <c r="J11" s="105" t="s">
        <v>446</v>
      </c>
      <c r="K11" s="31" t="s">
        <v>157</v>
      </c>
      <c r="L11" s="30" t="s">
        <v>158</v>
      </c>
      <c r="M11" s="24"/>
      <c r="N11" s="29"/>
      <c r="O11" s="25"/>
    </row>
    <row r="12" spans="1:79" x14ac:dyDescent="0.2">
      <c r="A12" s="23">
        <f t="shared" si="0"/>
        <v>9</v>
      </c>
      <c r="B12" s="37" t="s">
        <v>252</v>
      </c>
      <c r="C12" s="38" t="s">
        <v>233</v>
      </c>
      <c r="D12" s="38"/>
      <c r="E12" s="60">
        <v>463</v>
      </c>
      <c r="F12" s="61">
        <v>471</v>
      </c>
      <c r="G12" s="61">
        <v>481</v>
      </c>
      <c r="H12" s="61">
        <v>491</v>
      </c>
      <c r="I12" s="27" t="s">
        <v>93</v>
      </c>
      <c r="J12" s="105" t="s">
        <v>342</v>
      </c>
      <c r="K12" s="31" t="s">
        <v>157</v>
      </c>
      <c r="L12" s="30" t="s">
        <v>158</v>
      </c>
      <c r="M12" s="24"/>
      <c r="N12" s="29">
        <f>0.2*7+0.5+1+0.5+1+0.2+0.5+0.2+1</f>
        <v>6.3000000000000007</v>
      </c>
      <c r="O12" s="25">
        <f>N12*1000/H12</f>
        <v>12.830957230142568</v>
      </c>
    </row>
    <row r="13" spans="1:79" ht="25.5" x14ac:dyDescent="0.2">
      <c r="A13" s="23">
        <f t="shared" si="0"/>
        <v>10</v>
      </c>
      <c r="B13" s="37" t="s">
        <v>252</v>
      </c>
      <c r="C13" s="38" t="s">
        <v>233</v>
      </c>
      <c r="D13" s="38"/>
      <c r="E13" s="60">
        <v>463</v>
      </c>
      <c r="F13" s="61">
        <v>471</v>
      </c>
      <c r="G13" s="61">
        <v>481</v>
      </c>
      <c r="H13" s="61">
        <v>491</v>
      </c>
      <c r="I13" s="27" t="s">
        <v>153</v>
      </c>
      <c r="J13" s="105" t="s">
        <v>452</v>
      </c>
      <c r="K13" s="31" t="s">
        <v>157</v>
      </c>
      <c r="L13" s="30" t="s">
        <v>158</v>
      </c>
      <c r="M13" s="24"/>
      <c r="N13" s="29">
        <f>0.2*6+0.5+1+0.5+0.2*3+2.5</f>
        <v>6.3000000000000007</v>
      </c>
      <c r="O13" s="25">
        <f>N13*1000/H13</f>
        <v>12.830957230142568</v>
      </c>
    </row>
    <row r="14" spans="1:79" x14ac:dyDescent="0.2">
      <c r="A14" s="23">
        <f t="shared" si="0"/>
        <v>11</v>
      </c>
      <c r="B14" s="37" t="s">
        <v>253</v>
      </c>
      <c r="C14" s="38" t="s">
        <v>233</v>
      </c>
      <c r="D14" s="38" t="s">
        <v>232</v>
      </c>
      <c r="E14" s="60">
        <v>113</v>
      </c>
      <c r="F14" s="61">
        <v>108</v>
      </c>
      <c r="G14" s="61">
        <v>103</v>
      </c>
      <c r="H14" s="61">
        <v>97</v>
      </c>
      <c r="I14" s="27" t="s">
        <v>93</v>
      </c>
      <c r="J14" s="105" t="s">
        <v>453</v>
      </c>
      <c r="K14" s="31" t="s">
        <v>157</v>
      </c>
      <c r="L14" s="30" t="s">
        <v>158</v>
      </c>
      <c r="M14" s="24"/>
      <c r="N14" s="29">
        <f>15*0.1</f>
        <v>1.5</v>
      </c>
      <c r="O14" s="25">
        <f>N14*1000/H14</f>
        <v>15.463917525773196</v>
      </c>
    </row>
    <row r="15" spans="1:79" x14ac:dyDescent="0.2">
      <c r="A15" s="23">
        <f t="shared" si="0"/>
        <v>12</v>
      </c>
      <c r="B15" s="37" t="s">
        <v>253</v>
      </c>
      <c r="C15" s="38" t="s">
        <v>233</v>
      </c>
      <c r="D15" s="38" t="s">
        <v>232</v>
      </c>
      <c r="E15" s="60">
        <v>113</v>
      </c>
      <c r="F15" s="61">
        <v>108</v>
      </c>
      <c r="G15" s="61">
        <v>103</v>
      </c>
      <c r="H15" s="61">
        <v>97</v>
      </c>
      <c r="I15" s="27" t="s">
        <v>153</v>
      </c>
      <c r="J15" s="105" t="s">
        <v>451</v>
      </c>
      <c r="K15" s="31" t="s">
        <v>157</v>
      </c>
      <c r="L15" s="30" t="s">
        <v>158</v>
      </c>
      <c r="M15" s="24"/>
      <c r="N15" s="29">
        <f>6.752+6+0.1*14</f>
        <v>14.151999999999999</v>
      </c>
      <c r="O15" s="25">
        <f>N15*1000/H15</f>
        <v>145.89690721649484</v>
      </c>
    </row>
    <row r="16" spans="1:79" ht="25.5" x14ac:dyDescent="0.2">
      <c r="A16" s="23">
        <f t="shared" si="0"/>
        <v>13</v>
      </c>
      <c r="B16" s="107" t="s">
        <v>454</v>
      </c>
      <c r="C16" s="108" t="s">
        <v>456</v>
      </c>
      <c r="D16" s="108" t="s">
        <v>455</v>
      </c>
      <c r="E16" s="60">
        <v>42</v>
      </c>
      <c r="F16" s="61">
        <v>38</v>
      </c>
      <c r="G16" s="61">
        <v>33</v>
      </c>
      <c r="H16" s="61">
        <v>27</v>
      </c>
      <c r="I16" s="106" t="s">
        <v>93</v>
      </c>
      <c r="J16" s="105" t="s">
        <v>457</v>
      </c>
      <c r="K16" s="31" t="s">
        <v>157</v>
      </c>
      <c r="L16" s="30" t="s">
        <v>224</v>
      </c>
      <c r="M16" s="24"/>
      <c r="N16" s="29"/>
      <c r="O16" s="25"/>
    </row>
    <row r="17" spans="1:15" ht="25.5" x14ac:dyDescent="0.2">
      <c r="A17" s="23">
        <f t="shared" si="0"/>
        <v>14</v>
      </c>
      <c r="B17" s="37" t="s">
        <v>125</v>
      </c>
      <c r="C17" s="38" t="s">
        <v>53</v>
      </c>
      <c r="D17" s="38"/>
      <c r="E17" s="60">
        <v>325</v>
      </c>
      <c r="F17" s="61">
        <v>334</v>
      </c>
      <c r="G17" s="61">
        <v>345</v>
      </c>
      <c r="H17" s="61">
        <v>356</v>
      </c>
      <c r="I17" s="27" t="s">
        <v>93</v>
      </c>
      <c r="J17" s="105" t="s">
        <v>458</v>
      </c>
      <c r="K17" s="31" t="s">
        <v>157</v>
      </c>
      <c r="L17" s="30" t="s">
        <v>158</v>
      </c>
      <c r="M17" s="24"/>
      <c r="N17" s="29">
        <f>15*0.1+1</f>
        <v>2.5</v>
      </c>
      <c r="O17" s="25">
        <f>N17*1000/H17</f>
        <v>7.0224719101123592</v>
      </c>
    </row>
    <row r="18" spans="1:15" ht="25.5" x14ac:dyDescent="0.2">
      <c r="A18" s="23">
        <f t="shared" si="0"/>
        <v>15</v>
      </c>
      <c r="B18" s="37" t="s">
        <v>126</v>
      </c>
      <c r="C18" s="38" t="s">
        <v>53</v>
      </c>
      <c r="D18" s="38" t="s">
        <v>238</v>
      </c>
      <c r="E18" s="60">
        <v>92</v>
      </c>
      <c r="F18" s="61">
        <v>94</v>
      </c>
      <c r="G18" s="61">
        <v>96</v>
      </c>
      <c r="H18" s="61">
        <v>98</v>
      </c>
      <c r="I18" s="27" t="s">
        <v>93</v>
      </c>
      <c r="J18" s="105" t="s">
        <v>458</v>
      </c>
      <c r="K18" s="31" t="s">
        <v>157</v>
      </c>
      <c r="L18" s="30" t="s">
        <v>158</v>
      </c>
      <c r="M18" s="24"/>
      <c r="N18" s="29">
        <f>15*0.1+1</f>
        <v>2.5</v>
      </c>
      <c r="O18" s="25">
        <f>N18*1000/H18</f>
        <v>25.510204081632654</v>
      </c>
    </row>
    <row r="19" spans="1:15" ht="25.5" x14ac:dyDescent="0.2">
      <c r="A19" s="23">
        <f t="shared" si="0"/>
        <v>16</v>
      </c>
      <c r="B19" s="37" t="s">
        <v>127</v>
      </c>
      <c r="C19" s="38" t="s">
        <v>53</v>
      </c>
      <c r="D19" s="38" t="s">
        <v>237</v>
      </c>
      <c r="E19" s="60">
        <v>12</v>
      </c>
      <c r="F19" s="61">
        <v>11</v>
      </c>
      <c r="G19" s="61">
        <v>9</v>
      </c>
      <c r="H19" s="61">
        <v>8</v>
      </c>
      <c r="I19" s="27" t="s">
        <v>93</v>
      </c>
      <c r="J19" s="105" t="s">
        <v>458</v>
      </c>
      <c r="K19" s="31" t="s">
        <v>157</v>
      </c>
      <c r="L19" s="30" t="s">
        <v>158</v>
      </c>
      <c r="M19" s="24"/>
      <c r="N19" s="29">
        <f>0.1*15</f>
        <v>1.5</v>
      </c>
      <c r="O19" s="25">
        <f>N19*1000/H19</f>
        <v>187.5</v>
      </c>
    </row>
    <row r="20" spans="1:15" ht="25.5" x14ac:dyDescent="0.2">
      <c r="A20" s="23">
        <f t="shared" si="0"/>
        <v>17</v>
      </c>
      <c r="B20" s="37" t="s">
        <v>128</v>
      </c>
      <c r="C20" s="38" t="s">
        <v>53</v>
      </c>
      <c r="D20" s="38" t="s">
        <v>236</v>
      </c>
      <c r="E20" s="60">
        <v>12</v>
      </c>
      <c r="F20" s="61">
        <v>13</v>
      </c>
      <c r="G20" s="61">
        <v>14</v>
      </c>
      <c r="H20" s="61">
        <v>15</v>
      </c>
      <c r="I20" s="27" t="s">
        <v>93</v>
      </c>
      <c r="J20" s="105" t="s">
        <v>458</v>
      </c>
      <c r="K20" s="31" t="s">
        <v>157</v>
      </c>
      <c r="L20" s="30" t="s">
        <v>158</v>
      </c>
      <c r="M20" s="24"/>
      <c r="N20" s="29">
        <f>0.1*15</f>
        <v>1.5</v>
      </c>
      <c r="O20" s="25">
        <f>N20*1000/H20</f>
        <v>100</v>
      </c>
    </row>
    <row r="21" spans="1:15" ht="25.5" x14ac:dyDescent="0.2">
      <c r="A21" s="23">
        <f t="shared" si="0"/>
        <v>18</v>
      </c>
      <c r="B21" s="37" t="s">
        <v>129</v>
      </c>
      <c r="C21" s="38" t="s">
        <v>53</v>
      </c>
      <c r="D21" s="38" t="s">
        <v>235</v>
      </c>
      <c r="E21" s="60">
        <v>67</v>
      </c>
      <c r="F21" s="61">
        <v>67</v>
      </c>
      <c r="G21" s="61">
        <v>68</v>
      </c>
      <c r="H21" s="61">
        <v>68</v>
      </c>
      <c r="I21" s="27" t="s">
        <v>93</v>
      </c>
      <c r="J21" s="105" t="s">
        <v>458</v>
      </c>
      <c r="K21" s="31" t="s">
        <v>157</v>
      </c>
      <c r="L21" s="30" t="s">
        <v>158</v>
      </c>
      <c r="M21" s="24"/>
      <c r="N21" s="29"/>
      <c r="O21" s="25"/>
    </row>
    <row r="22" spans="1:15" ht="25.5" x14ac:dyDescent="0.2">
      <c r="A22" s="23">
        <f t="shared" si="0"/>
        <v>19</v>
      </c>
      <c r="B22" s="37" t="s">
        <v>130</v>
      </c>
      <c r="C22" s="38" t="s">
        <v>53</v>
      </c>
      <c r="D22" s="38" t="s">
        <v>234</v>
      </c>
      <c r="E22" s="60">
        <v>7</v>
      </c>
      <c r="F22" s="61">
        <v>6</v>
      </c>
      <c r="G22" s="61">
        <v>6</v>
      </c>
      <c r="H22" s="61">
        <v>5</v>
      </c>
      <c r="I22" s="27" t="s">
        <v>93</v>
      </c>
      <c r="J22" s="105" t="s">
        <v>458</v>
      </c>
      <c r="K22" s="31" t="s">
        <v>157</v>
      </c>
      <c r="L22" s="30" t="s">
        <v>158</v>
      </c>
      <c r="M22" s="24"/>
      <c r="N22" s="29">
        <f>1.5+0.1*14</f>
        <v>2.9000000000000004</v>
      </c>
      <c r="O22" s="25">
        <f>N22*1000/H22</f>
        <v>580.00000000000011</v>
      </c>
    </row>
    <row r="23" spans="1:15" ht="25.5" x14ac:dyDescent="0.2">
      <c r="A23" s="23">
        <f t="shared" si="0"/>
        <v>20</v>
      </c>
      <c r="B23" s="107" t="s">
        <v>459</v>
      </c>
      <c r="C23" s="108" t="s">
        <v>239</v>
      </c>
      <c r="D23" s="38"/>
      <c r="E23" s="60">
        <v>3877</v>
      </c>
      <c r="F23" s="61">
        <v>3882</v>
      </c>
      <c r="G23" s="61">
        <v>3888</v>
      </c>
      <c r="H23" s="61">
        <v>4210</v>
      </c>
      <c r="I23" s="106" t="s">
        <v>93</v>
      </c>
      <c r="J23" s="105" t="s">
        <v>465</v>
      </c>
      <c r="K23" s="31"/>
      <c r="L23" s="30"/>
      <c r="M23" s="24"/>
      <c r="N23" s="29"/>
      <c r="O23" s="25"/>
    </row>
    <row r="24" spans="1:15" ht="25.5" x14ac:dyDescent="0.2">
      <c r="A24" s="23">
        <f t="shared" si="0"/>
        <v>21</v>
      </c>
      <c r="B24" s="107" t="s">
        <v>459</v>
      </c>
      <c r="C24" s="108" t="s">
        <v>239</v>
      </c>
      <c r="D24" s="38"/>
      <c r="E24" s="60">
        <v>3877</v>
      </c>
      <c r="F24" s="61">
        <v>3882</v>
      </c>
      <c r="G24" s="61">
        <v>3888</v>
      </c>
      <c r="H24" s="61">
        <v>4210</v>
      </c>
      <c r="I24" s="106" t="s">
        <v>153</v>
      </c>
      <c r="J24" s="105" t="s">
        <v>464</v>
      </c>
      <c r="K24" s="31" t="s">
        <v>157</v>
      </c>
      <c r="L24" s="30" t="s">
        <v>158</v>
      </c>
      <c r="M24" s="24"/>
      <c r="N24" s="29"/>
      <c r="O24" s="25"/>
    </row>
    <row r="25" spans="1:15" ht="25.5" x14ac:dyDescent="0.2">
      <c r="A25" s="23">
        <f t="shared" si="0"/>
        <v>22</v>
      </c>
      <c r="B25" s="107" t="s">
        <v>460</v>
      </c>
      <c r="C25" s="108" t="s">
        <v>239</v>
      </c>
      <c r="D25" s="108" t="s">
        <v>461</v>
      </c>
      <c r="E25" s="60"/>
      <c r="F25" s="61"/>
      <c r="G25" s="61"/>
      <c r="H25" s="61"/>
      <c r="I25" s="106" t="s">
        <v>462</v>
      </c>
      <c r="J25" s="105" t="s">
        <v>463</v>
      </c>
      <c r="K25" s="31" t="s">
        <v>156</v>
      </c>
      <c r="L25" s="30"/>
      <c r="M25" s="24"/>
      <c r="N25" s="29"/>
      <c r="O25" s="25"/>
    </row>
    <row r="26" spans="1:15" ht="25.5" x14ac:dyDescent="0.2">
      <c r="A26" s="23">
        <f t="shared" si="0"/>
        <v>23</v>
      </c>
      <c r="B26" s="37" t="s">
        <v>131</v>
      </c>
      <c r="C26" s="38" t="s">
        <v>239</v>
      </c>
      <c r="D26" s="38" t="s">
        <v>240</v>
      </c>
      <c r="E26" s="60">
        <v>43</v>
      </c>
      <c r="F26" s="61">
        <v>47</v>
      </c>
      <c r="G26" s="61">
        <v>52</v>
      </c>
      <c r="H26" s="61">
        <v>58</v>
      </c>
      <c r="I26" s="106" t="s">
        <v>93</v>
      </c>
      <c r="J26" s="105" t="s">
        <v>439</v>
      </c>
      <c r="K26" s="31" t="s">
        <v>157</v>
      </c>
      <c r="L26" s="30" t="s">
        <v>158</v>
      </c>
      <c r="M26" s="24"/>
      <c r="N26" s="29">
        <v>2.1349999999999998</v>
      </c>
      <c r="O26" s="25">
        <f>N26*1000/H26</f>
        <v>36.810344827586206</v>
      </c>
    </row>
    <row r="27" spans="1:15" ht="38.25" x14ac:dyDescent="0.2">
      <c r="A27" s="23">
        <f t="shared" si="0"/>
        <v>24</v>
      </c>
      <c r="B27" s="37" t="s">
        <v>131</v>
      </c>
      <c r="C27" s="38" t="s">
        <v>239</v>
      </c>
      <c r="D27" s="38" t="s">
        <v>240</v>
      </c>
      <c r="E27" s="60">
        <v>43</v>
      </c>
      <c r="F27" s="61">
        <v>47</v>
      </c>
      <c r="G27" s="61">
        <v>52</v>
      </c>
      <c r="H27" s="61">
        <v>58</v>
      </c>
      <c r="I27" s="106" t="s">
        <v>153</v>
      </c>
      <c r="J27" s="105" t="s">
        <v>437</v>
      </c>
      <c r="K27" s="31" t="s">
        <v>156</v>
      </c>
      <c r="L27" s="30"/>
      <c r="M27" s="24"/>
      <c r="N27" s="29"/>
      <c r="O27" s="25"/>
    </row>
    <row r="28" spans="1:15" ht="25.5" x14ac:dyDescent="0.2">
      <c r="A28" s="23">
        <f t="shared" si="0"/>
        <v>25</v>
      </c>
      <c r="B28" s="37" t="s">
        <v>424</v>
      </c>
      <c r="C28" s="38" t="s">
        <v>239</v>
      </c>
      <c r="D28" s="108" t="s">
        <v>425</v>
      </c>
      <c r="E28" s="60"/>
      <c r="F28" s="61"/>
      <c r="G28" s="61"/>
      <c r="H28" s="61"/>
      <c r="I28" s="106" t="s">
        <v>153</v>
      </c>
      <c r="J28" s="105" t="s">
        <v>436</v>
      </c>
      <c r="K28" s="31" t="s">
        <v>156</v>
      </c>
      <c r="L28" s="30"/>
      <c r="M28" s="24"/>
      <c r="N28" s="29"/>
      <c r="O28" s="25"/>
    </row>
    <row r="29" spans="1:15" ht="25.5" x14ac:dyDescent="0.2">
      <c r="A29" s="23">
        <f t="shared" si="0"/>
        <v>26</v>
      </c>
      <c r="B29" s="37" t="s">
        <v>426</v>
      </c>
      <c r="C29" s="38" t="s">
        <v>239</v>
      </c>
      <c r="D29" s="108" t="s">
        <v>427</v>
      </c>
      <c r="E29" s="60"/>
      <c r="F29" s="61"/>
      <c r="G29" s="61"/>
      <c r="H29" s="61"/>
      <c r="I29" s="106" t="s">
        <v>153</v>
      </c>
      <c r="J29" s="105" t="s">
        <v>436</v>
      </c>
      <c r="K29" s="31" t="s">
        <v>156</v>
      </c>
      <c r="L29" s="30"/>
      <c r="M29" s="24"/>
      <c r="N29" s="29"/>
      <c r="O29" s="25"/>
    </row>
    <row r="30" spans="1:15" ht="25.5" x14ac:dyDescent="0.2">
      <c r="A30" s="23">
        <f t="shared" si="0"/>
        <v>27</v>
      </c>
      <c r="B30" s="37" t="s">
        <v>428</v>
      </c>
      <c r="C30" s="38" t="s">
        <v>239</v>
      </c>
      <c r="D30" s="108" t="s">
        <v>429</v>
      </c>
      <c r="E30" s="60"/>
      <c r="F30" s="61"/>
      <c r="G30" s="61"/>
      <c r="H30" s="61"/>
      <c r="I30" s="106" t="s">
        <v>93</v>
      </c>
      <c r="J30" s="105" t="s">
        <v>441</v>
      </c>
      <c r="K30" s="31" t="s">
        <v>157</v>
      </c>
      <c r="L30" s="30" t="s">
        <v>158</v>
      </c>
      <c r="M30" s="24"/>
      <c r="N30" s="29"/>
      <c r="O30" s="25"/>
    </row>
    <row r="31" spans="1:15" ht="25.5" x14ac:dyDescent="0.2">
      <c r="A31" s="23">
        <f t="shared" si="0"/>
        <v>28</v>
      </c>
      <c r="B31" s="37" t="s">
        <v>428</v>
      </c>
      <c r="C31" s="38" t="s">
        <v>239</v>
      </c>
      <c r="D31" s="108" t="s">
        <v>429</v>
      </c>
      <c r="E31" s="60"/>
      <c r="F31" s="61"/>
      <c r="G31" s="61"/>
      <c r="H31" s="61"/>
      <c r="I31" s="106" t="s">
        <v>153</v>
      </c>
      <c r="J31" s="105" t="s">
        <v>436</v>
      </c>
      <c r="K31" s="31" t="s">
        <v>156</v>
      </c>
      <c r="L31" s="30"/>
      <c r="M31" s="24"/>
      <c r="N31" s="29"/>
      <c r="O31" s="25"/>
    </row>
    <row r="32" spans="1:15" ht="25.5" x14ac:dyDescent="0.2">
      <c r="A32" s="23">
        <f t="shared" si="0"/>
        <v>29</v>
      </c>
      <c r="B32" s="37" t="s">
        <v>132</v>
      </c>
      <c r="C32" s="38" t="s">
        <v>239</v>
      </c>
      <c r="D32" s="38" t="s">
        <v>241</v>
      </c>
      <c r="E32" s="60">
        <v>105</v>
      </c>
      <c r="F32" s="61">
        <v>105</v>
      </c>
      <c r="G32" s="61">
        <v>105</v>
      </c>
      <c r="H32" s="61">
        <v>105</v>
      </c>
      <c r="I32" s="27" t="s">
        <v>93</v>
      </c>
      <c r="J32" s="105" t="s">
        <v>439</v>
      </c>
      <c r="K32" s="31" t="s">
        <v>157</v>
      </c>
      <c r="L32" s="30" t="s">
        <v>158</v>
      </c>
      <c r="M32" s="24"/>
      <c r="N32" s="29"/>
      <c r="O32" s="25"/>
    </row>
    <row r="33" spans="1:15" ht="25.5" x14ac:dyDescent="0.2">
      <c r="A33" s="23">
        <f t="shared" si="0"/>
        <v>30</v>
      </c>
      <c r="B33" s="37" t="s">
        <v>132</v>
      </c>
      <c r="C33" s="38" t="s">
        <v>239</v>
      </c>
      <c r="D33" s="38" t="s">
        <v>241</v>
      </c>
      <c r="E33" s="60">
        <v>105</v>
      </c>
      <c r="F33" s="61">
        <v>105</v>
      </c>
      <c r="G33" s="61">
        <v>105</v>
      </c>
      <c r="H33" s="61">
        <v>105</v>
      </c>
      <c r="I33" s="106" t="s">
        <v>153</v>
      </c>
      <c r="J33" s="105" t="s">
        <v>436</v>
      </c>
      <c r="K33" s="31" t="s">
        <v>156</v>
      </c>
      <c r="L33" s="30"/>
      <c r="M33" s="24"/>
      <c r="N33" s="29"/>
      <c r="O33" s="25"/>
    </row>
    <row r="34" spans="1:15" ht="25.5" x14ac:dyDescent="0.2">
      <c r="A34" s="23">
        <f t="shared" si="0"/>
        <v>31</v>
      </c>
      <c r="B34" s="37" t="s">
        <v>430</v>
      </c>
      <c r="C34" s="38" t="s">
        <v>239</v>
      </c>
      <c r="D34" s="108" t="s">
        <v>431</v>
      </c>
      <c r="E34" s="60"/>
      <c r="F34" s="61"/>
      <c r="G34" s="61"/>
      <c r="H34" s="61"/>
      <c r="I34" s="106" t="s">
        <v>153</v>
      </c>
      <c r="J34" s="105" t="s">
        <v>436</v>
      </c>
      <c r="K34" s="31" t="s">
        <v>156</v>
      </c>
      <c r="L34" s="30"/>
      <c r="M34" s="24"/>
      <c r="N34" s="29"/>
      <c r="O34" s="25"/>
    </row>
    <row r="35" spans="1:15" ht="25.5" x14ac:dyDescent="0.2">
      <c r="A35" s="23">
        <f t="shared" si="0"/>
        <v>32</v>
      </c>
      <c r="B35" s="37" t="s">
        <v>133</v>
      </c>
      <c r="C35" s="38" t="s">
        <v>239</v>
      </c>
      <c r="D35" s="38" t="s">
        <v>242</v>
      </c>
      <c r="E35" s="60">
        <v>185</v>
      </c>
      <c r="F35" s="61">
        <v>181</v>
      </c>
      <c r="G35" s="61">
        <v>176</v>
      </c>
      <c r="H35" s="61">
        <v>172</v>
      </c>
      <c r="I35" s="106" t="s">
        <v>93</v>
      </c>
      <c r="J35" s="105" t="s">
        <v>439</v>
      </c>
      <c r="K35" s="31" t="s">
        <v>157</v>
      </c>
      <c r="L35" s="30" t="s">
        <v>158</v>
      </c>
      <c r="M35" s="24"/>
      <c r="N35" s="29"/>
      <c r="O35" s="25"/>
    </row>
    <row r="36" spans="1:15" ht="25.5" x14ac:dyDescent="0.2">
      <c r="A36" s="23">
        <f t="shared" si="0"/>
        <v>33</v>
      </c>
      <c r="B36" s="37" t="s">
        <v>133</v>
      </c>
      <c r="C36" s="38" t="s">
        <v>239</v>
      </c>
      <c r="D36" s="38" t="s">
        <v>242</v>
      </c>
      <c r="E36" s="60">
        <v>185</v>
      </c>
      <c r="F36" s="61">
        <v>181</v>
      </c>
      <c r="G36" s="61">
        <v>176</v>
      </c>
      <c r="H36" s="61">
        <v>172</v>
      </c>
      <c r="I36" s="106" t="s">
        <v>153</v>
      </c>
      <c r="J36" s="105" t="s">
        <v>440</v>
      </c>
      <c r="K36" s="31" t="s">
        <v>157</v>
      </c>
      <c r="L36" s="30" t="s">
        <v>158</v>
      </c>
      <c r="M36" s="24"/>
      <c r="N36" s="29"/>
      <c r="O36" s="25"/>
    </row>
    <row r="37" spans="1:15" ht="25.5" x14ac:dyDescent="0.2">
      <c r="A37" s="23">
        <f t="shared" si="0"/>
        <v>34</v>
      </c>
      <c r="B37" s="37" t="s">
        <v>432</v>
      </c>
      <c r="C37" s="38" t="s">
        <v>239</v>
      </c>
      <c r="D37" s="108" t="s">
        <v>433</v>
      </c>
      <c r="E37" s="60"/>
      <c r="F37" s="61"/>
      <c r="G37" s="61"/>
      <c r="H37" s="61"/>
      <c r="I37" s="106" t="s">
        <v>153</v>
      </c>
      <c r="J37" s="105" t="s">
        <v>436</v>
      </c>
      <c r="K37" s="31" t="s">
        <v>156</v>
      </c>
      <c r="L37" s="30"/>
      <c r="M37" s="24"/>
      <c r="N37" s="29"/>
      <c r="O37" s="25"/>
    </row>
    <row r="38" spans="1:15" ht="25.5" x14ac:dyDescent="0.2">
      <c r="A38" s="23">
        <f t="shared" si="0"/>
        <v>35</v>
      </c>
      <c r="B38" s="37" t="s">
        <v>134</v>
      </c>
      <c r="C38" s="38" t="s">
        <v>239</v>
      </c>
      <c r="D38" s="38" t="s">
        <v>243</v>
      </c>
      <c r="E38" s="60">
        <v>72</v>
      </c>
      <c r="F38" s="61">
        <v>72</v>
      </c>
      <c r="G38" s="61">
        <v>73</v>
      </c>
      <c r="H38" s="61">
        <v>73</v>
      </c>
      <c r="I38" s="27" t="s">
        <v>93</v>
      </c>
      <c r="J38" s="105" t="s">
        <v>439</v>
      </c>
      <c r="K38" s="31" t="s">
        <v>157</v>
      </c>
      <c r="L38" s="30" t="s">
        <v>158</v>
      </c>
      <c r="M38" s="24"/>
      <c r="N38" s="29"/>
      <c r="O38" s="25"/>
    </row>
    <row r="39" spans="1:15" ht="25.5" x14ac:dyDescent="0.2">
      <c r="A39" s="23">
        <f t="shared" si="0"/>
        <v>36</v>
      </c>
      <c r="B39" s="37" t="s">
        <v>135</v>
      </c>
      <c r="C39" s="38" t="s">
        <v>239</v>
      </c>
      <c r="D39" s="38" t="s">
        <v>244</v>
      </c>
      <c r="E39" s="60">
        <v>96</v>
      </c>
      <c r="F39" s="61">
        <v>99</v>
      </c>
      <c r="G39" s="61">
        <v>104</v>
      </c>
      <c r="H39" s="61">
        <v>108</v>
      </c>
      <c r="I39" s="106" t="s">
        <v>93</v>
      </c>
      <c r="J39" s="105" t="s">
        <v>439</v>
      </c>
      <c r="K39" s="31" t="s">
        <v>157</v>
      </c>
      <c r="L39" s="30" t="s">
        <v>158</v>
      </c>
      <c r="M39" s="24"/>
      <c r="N39" s="29"/>
      <c r="O39" s="25"/>
    </row>
    <row r="40" spans="1:15" ht="27" customHeight="1" x14ac:dyDescent="0.2">
      <c r="A40" s="23">
        <f t="shared" si="0"/>
        <v>37</v>
      </c>
      <c r="B40" s="37" t="s">
        <v>65</v>
      </c>
      <c r="C40" s="38" t="s">
        <v>239</v>
      </c>
      <c r="D40" s="38" t="s">
        <v>64</v>
      </c>
      <c r="E40" s="60">
        <v>31</v>
      </c>
      <c r="F40" s="61">
        <v>30</v>
      </c>
      <c r="G40" s="61">
        <v>28</v>
      </c>
      <c r="H40" s="61">
        <v>28</v>
      </c>
      <c r="I40" s="27" t="s">
        <v>93</v>
      </c>
      <c r="J40" s="105" t="s">
        <v>438</v>
      </c>
      <c r="K40" s="31" t="s">
        <v>157</v>
      </c>
      <c r="L40" s="30" t="s">
        <v>224</v>
      </c>
      <c r="M40" s="24"/>
      <c r="N40" s="29"/>
      <c r="O40" s="25"/>
    </row>
    <row r="41" spans="1:15" ht="38.25" x14ac:dyDescent="0.2">
      <c r="A41" s="23">
        <f t="shared" si="0"/>
        <v>38</v>
      </c>
      <c r="B41" s="37" t="s">
        <v>65</v>
      </c>
      <c r="C41" s="38" t="s">
        <v>239</v>
      </c>
      <c r="D41" s="38" t="s">
        <v>64</v>
      </c>
      <c r="E41" s="60">
        <v>31</v>
      </c>
      <c r="F41" s="61">
        <v>30</v>
      </c>
      <c r="G41" s="61">
        <v>28</v>
      </c>
      <c r="H41" s="61">
        <v>28</v>
      </c>
      <c r="I41" s="106" t="s">
        <v>153</v>
      </c>
      <c r="J41" s="105" t="s">
        <v>437</v>
      </c>
      <c r="K41" s="31" t="s">
        <v>156</v>
      </c>
      <c r="L41" s="30"/>
      <c r="M41" s="24"/>
      <c r="N41" s="29"/>
      <c r="O41" s="25"/>
    </row>
    <row r="42" spans="1:15" ht="25.5" x14ac:dyDescent="0.2">
      <c r="A42" s="23">
        <f t="shared" si="0"/>
        <v>39</v>
      </c>
      <c r="B42" s="37" t="s">
        <v>434</v>
      </c>
      <c r="C42" s="38" t="s">
        <v>239</v>
      </c>
      <c r="D42" s="108" t="s">
        <v>435</v>
      </c>
      <c r="E42" s="60"/>
      <c r="F42" s="61"/>
      <c r="G42" s="61"/>
      <c r="H42" s="61"/>
      <c r="I42" s="106" t="s">
        <v>153</v>
      </c>
      <c r="J42" s="105" t="s">
        <v>436</v>
      </c>
      <c r="K42" s="31" t="s">
        <v>156</v>
      </c>
      <c r="L42" s="30"/>
      <c r="M42" s="24"/>
      <c r="N42" s="29"/>
      <c r="O42" s="25"/>
    </row>
  </sheetData>
  <autoFilter ref="A3:O42"/>
  <mergeCells count="2">
    <mergeCell ref="M1:N1"/>
    <mergeCell ref="E1:H1"/>
  </mergeCells>
  <phoneticPr fontId="2" type="noConversion"/>
  <conditionalFormatting sqref="A5:A42">
    <cfRule type="cellIs" dxfId="35" priority="1" stopIfTrue="1" operator="equal">
      <formula>A4</formula>
    </cfRule>
  </conditionalFormatting>
  <conditionalFormatting sqref="N4:N42">
    <cfRule type="cellIs" dxfId="34" priority="2" stopIfTrue="1" operator="equal">
      <formula>0</formula>
    </cfRule>
  </conditionalFormatting>
  <conditionalFormatting sqref="A3">
    <cfRule type="cellIs" dxfId="33" priority="3" stopIfTrue="1" operator="equal">
      <formula>#REF!</formula>
    </cfRule>
  </conditionalFormatting>
  <conditionalFormatting sqref="A4:A42">
    <cfRule type="cellIs" dxfId="32" priority="6" stopIfTrue="1" operator="equal">
      <formula>#REF!</formula>
    </cfRule>
  </conditionalFormatting>
  <conditionalFormatting sqref="A4:A42">
    <cfRule type="cellIs" dxfId="31" priority="7" stopIfTrue="1" operator="equal">
      <formula>#REF!</formula>
    </cfRule>
  </conditionalFormatting>
  <conditionalFormatting sqref="A4">
    <cfRule type="cellIs" dxfId="30" priority="12" stopIfTrue="1" operator="equal">
      <formula>A42</formula>
    </cfRule>
  </conditionalFormatting>
  <conditionalFormatting sqref="A26">
    <cfRule type="cellIs" dxfId="29" priority="14" stopIfTrue="1" operator="equal">
      <formula>A22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1"/>
  <sheetViews>
    <sheetView zoomScale="90" zoomScaleNormal="90" zoomScaleSheetLayoutView="90" workbookViewId="0">
      <selection activeCell="D13" sqref="D13"/>
    </sheetView>
  </sheetViews>
  <sheetFormatPr defaultRowHeight="12.75" x14ac:dyDescent="0.2"/>
  <cols>
    <col min="1" max="1" width="5.42578125" style="1" customWidth="1"/>
    <col min="2" max="2" width="13.28515625" style="1" customWidth="1"/>
    <col min="3" max="3" width="14.42578125" style="1" customWidth="1"/>
    <col min="4" max="4" width="11.140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7109375" style="1" customWidth="1"/>
    <col min="13" max="13" width="8.85546875" style="1" customWidth="1"/>
    <col min="14" max="14" width="11" style="1" customWidth="1"/>
    <col min="15" max="15" width="11.42578125" style="1" customWidth="1"/>
    <col min="16" max="16" width="4.42578125" style="1" customWidth="1"/>
    <col min="17" max="17" width="9.140625" style="1"/>
    <col min="18" max="18" width="10.42578125" style="1" customWidth="1"/>
    <col min="19" max="23" width="9.140625" style="1"/>
    <col min="24" max="24" width="10.140625" style="1" bestFit="1" customWidth="1"/>
    <col min="25" max="45" width="9.140625" style="1"/>
    <col min="46" max="46" width="10.140625" style="1" bestFit="1" customWidth="1"/>
    <col min="47" max="47" width="10.140625" style="1" customWidth="1"/>
    <col min="48" max="48" width="11.42578125" style="1" bestFit="1" customWidth="1"/>
    <col min="49" max="49" width="9.140625" style="1"/>
    <col min="50" max="50" width="12.28515625" style="1" bestFit="1" customWidth="1"/>
    <col min="51" max="16384" width="9.140625" style="1"/>
  </cols>
  <sheetData>
    <row r="1" spans="1:78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10"/>
      <c r="AS1" s="9"/>
      <c r="AT1" s="9"/>
      <c r="AU1" s="9"/>
      <c r="AV1" s="9"/>
      <c r="AW1" s="9"/>
      <c r="AX1" s="9"/>
    </row>
    <row r="2" spans="1:78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78" s="3" customFormat="1" ht="13.5" thickBot="1" x14ac:dyDescent="0.25">
      <c r="A3" s="54"/>
      <c r="B3" s="55"/>
      <c r="C3" s="55" t="s">
        <v>66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78" s="3" customFormat="1" ht="25.5" x14ac:dyDescent="0.2">
      <c r="A4" s="39">
        <f t="shared" ref="A4:A21" si="0">IF(B4="",A3,A3+1)</f>
        <v>1</v>
      </c>
      <c r="B4" s="122" t="s">
        <v>393</v>
      </c>
      <c r="C4" s="123" t="s">
        <v>394</v>
      </c>
      <c r="D4" s="82"/>
      <c r="E4" s="63">
        <v>303</v>
      </c>
      <c r="F4" s="64">
        <v>298</v>
      </c>
      <c r="G4" s="64">
        <v>292</v>
      </c>
      <c r="H4" s="64">
        <v>286</v>
      </c>
      <c r="I4" s="41" t="s">
        <v>93</v>
      </c>
      <c r="J4" s="121" t="s">
        <v>396</v>
      </c>
      <c r="K4" s="67" t="s">
        <v>157</v>
      </c>
      <c r="L4" s="83" t="s">
        <v>158</v>
      </c>
      <c r="M4" s="40"/>
      <c r="N4" s="42">
        <f>0.3+0.5+0.8+0.9</f>
        <v>2.5</v>
      </c>
      <c r="O4" s="68">
        <f>N4*1000/H4</f>
        <v>8.7412587412587417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78" ht="38.25" x14ac:dyDescent="0.2">
      <c r="A5" s="23">
        <f t="shared" si="0"/>
        <v>2</v>
      </c>
      <c r="B5" s="107" t="s">
        <v>393</v>
      </c>
      <c r="C5" s="108" t="s">
        <v>394</v>
      </c>
      <c r="D5" s="38"/>
      <c r="E5" s="60">
        <v>303</v>
      </c>
      <c r="F5" s="61">
        <v>298</v>
      </c>
      <c r="G5" s="61">
        <v>292</v>
      </c>
      <c r="H5" s="61">
        <v>286</v>
      </c>
      <c r="I5" s="27" t="s">
        <v>153</v>
      </c>
      <c r="J5" s="105" t="s">
        <v>395</v>
      </c>
      <c r="K5" s="31" t="s">
        <v>157</v>
      </c>
      <c r="L5" s="30" t="s">
        <v>158</v>
      </c>
      <c r="M5" s="24"/>
      <c r="N5" s="29">
        <f>9.402+0.8+1.7+3.5+1.6</f>
        <v>17.001999999999999</v>
      </c>
      <c r="O5" s="25">
        <f>N5*1000/H5</f>
        <v>59.447552447552447</v>
      </c>
    </row>
    <row r="6" spans="1:78" ht="25.5" x14ac:dyDescent="0.2">
      <c r="A6" s="23">
        <f t="shared" si="0"/>
        <v>3</v>
      </c>
      <c r="B6" s="107" t="s">
        <v>397</v>
      </c>
      <c r="C6" s="108" t="s">
        <v>398</v>
      </c>
      <c r="D6" s="38"/>
      <c r="E6" s="60">
        <v>187</v>
      </c>
      <c r="F6" s="61">
        <v>180</v>
      </c>
      <c r="G6" s="61">
        <v>171</v>
      </c>
      <c r="H6" s="61">
        <v>163</v>
      </c>
      <c r="I6" s="106" t="s">
        <v>93</v>
      </c>
      <c r="J6" s="105" t="s">
        <v>400</v>
      </c>
      <c r="K6" s="31" t="s">
        <v>156</v>
      </c>
      <c r="L6" s="30"/>
      <c r="M6" s="24"/>
      <c r="N6" s="29">
        <v>0.157</v>
      </c>
      <c r="O6" s="25">
        <f>N6*1000/H6</f>
        <v>0.96319018404907975</v>
      </c>
    </row>
    <row r="7" spans="1:78" ht="25.5" x14ac:dyDescent="0.2">
      <c r="A7" s="23">
        <f t="shared" si="0"/>
        <v>4</v>
      </c>
      <c r="B7" s="107" t="s">
        <v>397</v>
      </c>
      <c r="C7" s="108" t="s">
        <v>398</v>
      </c>
      <c r="D7" s="38"/>
      <c r="E7" s="60">
        <v>187</v>
      </c>
      <c r="F7" s="61">
        <v>180</v>
      </c>
      <c r="G7" s="61">
        <v>171</v>
      </c>
      <c r="H7" s="61">
        <v>163</v>
      </c>
      <c r="I7" s="27" t="s">
        <v>153</v>
      </c>
      <c r="J7" s="105" t="s">
        <v>399</v>
      </c>
      <c r="K7" s="31" t="s">
        <v>157</v>
      </c>
      <c r="L7" s="30" t="s">
        <v>158</v>
      </c>
      <c r="M7" s="24"/>
      <c r="N7" s="29"/>
      <c r="O7" s="25"/>
    </row>
    <row r="8" spans="1:78" ht="38.25" x14ac:dyDescent="0.2">
      <c r="A8" s="23">
        <f t="shared" si="0"/>
        <v>5</v>
      </c>
      <c r="B8" s="107" t="s">
        <v>401</v>
      </c>
      <c r="C8" s="108" t="s">
        <v>402</v>
      </c>
      <c r="D8" s="38"/>
      <c r="E8" s="60">
        <v>327</v>
      </c>
      <c r="F8" s="61">
        <v>319</v>
      </c>
      <c r="G8" s="61">
        <v>308</v>
      </c>
      <c r="H8" s="61">
        <v>298</v>
      </c>
      <c r="I8" s="27" t="s">
        <v>93</v>
      </c>
      <c r="J8" s="105" t="s">
        <v>403</v>
      </c>
      <c r="K8" s="31" t="s">
        <v>156</v>
      </c>
      <c r="L8" s="30"/>
      <c r="M8" s="24"/>
      <c r="N8" s="29">
        <v>6.2430000000000003</v>
      </c>
      <c r="O8" s="25">
        <f>N8*1000/H8</f>
        <v>20.949664429530202</v>
      </c>
    </row>
    <row r="9" spans="1:78" ht="25.5" x14ac:dyDescent="0.2">
      <c r="A9" s="23">
        <f t="shared" si="0"/>
        <v>6</v>
      </c>
      <c r="B9" s="107" t="s">
        <v>401</v>
      </c>
      <c r="C9" s="108" t="s">
        <v>402</v>
      </c>
      <c r="D9" s="38"/>
      <c r="E9" s="60">
        <v>327</v>
      </c>
      <c r="F9" s="61">
        <v>319</v>
      </c>
      <c r="G9" s="61">
        <v>308</v>
      </c>
      <c r="H9" s="61">
        <v>298</v>
      </c>
      <c r="I9" s="27" t="s">
        <v>153</v>
      </c>
      <c r="J9" s="105" t="s">
        <v>404</v>
      </c>
      <c r="K9" s="31" t="s">
        <v>156</v>
      </c>
      <c r="L9" s="30"/>
      <c r="M9" s="24"/>
      <c r="N9" s="29">
        <v>3.82</v>
      </c>
      <c r="O9" s="25">
        <f>N9*1000/H9</f>
        <v>12.818791946308725</v>
      </c>
    </row>
    <row r="10" spans="1:78" ht="25.5" x14ac:dyDescent="0.2">
      <c r="A10" s="23">
        <f t="shared" si="0"/>
        <v>7</v>
      </c>
      <c r="B10" s="107" t="s">
        <v>405</v>
      </c>
      <c r="C10" s="108" t="s">
        <v>406</v>
      </c>
      <c r="D10" s="38"/>
      <c r="E10" s="60">
        <v>1844</v>
      </c>
      <c r="F10" s="61">
        <v>1869</v>
      </c>
      <c r="G10" s="61">
        <v>1900</v>
      </c>
      <c r="H10" s="61">
        <v>1659</v>
      </c>
      <c r="I10" s="27" t="s">
        <v>93</v>
      </c>
      <c r="J10" s="105" t="s">
        <v>419</v>
      </c>
      <c r="K10" s="31" t="s">
        <v>157</v>
      </c>
      <c r="L10" s="30" t="s">
        <v>158</v>
      </c>
      <c r="M10" s="24"/>
      <c r="N10" s="29">
        <v>5</v>
      </c>
      <c r="O10" s="25">
        <f>N10*1000/H10</f>
        <v>3.013863773357444</v>
      </c>
    </row>
    <row r="11" spans="1:78" ht="38.25" x14ac:dyDescent="0.2">
      <c r="A11" s="23">
        <f t="shared" si="0"/>
        <v>8</v>
      </c>
      <c r="B11" s="107" t="s">
        <v>405</v>
      </c>
      <c r="C11" s="108" t="s">
        <v>406</v>
      </c>
      <c r="D11" s="38"/>
      <c r="E11" s="60">
        <v>1844</v>
      </c>
      <c r="F11" s="61">
        <v>1869</v>
      </c>
      <c r="G11" s="61">
        <v>1900</v>
      </c>
      <c r="H11" s="61">
        <v>1659</v>
      </c>
      <c r="I11" s="27" t="s">
        <v>153</v>
      </c>
      <c r="J11" s="105" t="s">
        <v>420</v>
      </c>
      <c r="K11" s="31" t="s">
        <v>157</v>
      </c>
      <c r="L11" s="30" t="s">
        <v>158</v>
      </c>
      <c r="M11" s="24"/>
      <c r="N11" s="29">
        <v>50</v>
      </c>
      <c r="O11" s="25">
        <f>N11*1000/H11</f>
        <v>30.138637733574441</v>
      </c>
    </row>
    <row r="12" spans="1:78" ht="25.5" x14ac:dyDescent="0.2">
      <c r="A12" s="23">
        <f t="shared" si="0"/>
        <v>9</v>
      </c>
      <c r="B12" s="107" t="s">
        <v>407</v>
      </c>
      <c r="C12" s="108" t="s">
        <v>406</v>
      </c>
      <c r="D12" s="108" t="s">
        <v>409</v>
      </c>
      <c r="E12" s="60">
        <v>122</v>
      </c>
      <c r="F12" s="61">
        <v>115</v>
      </c>
      <c r="G12" s="61">
        <v>107</v>
      </c>
      <c r="H12" s="61">
        <v>99</v>
      </c>
      <c r="I12" s="27" t="s">
        <v>93</v>
      </c>
      <c r="J12" s="105" t="s">
        <v>418</v>
      </c>
      <c r="K12" s="31" t="s">
        <v>157</v>
      </c>
      <c r="L12" s="30" t="s">
        <v>158</v>
      </c>
      <c r="M12" s="24"/>
      <c r="N12" s="29"/>
      <c r="O12" s="25"/>
    </row>
    <row r="13" spans="1:78" ht="25.5" x14ac:dyDescent="0.2">
      <c r="A13" s="23">
        <f t="shared" si="0"/>
        <v>10</v>
      </c>
      <c r="B13" s="107" t="s">
        <v>407</v>
      </c>
      <c r="C13" s="108" t="s">
        <v>406</v>
      </c>
      <c r="D13" s="108" t="s">
        <v>409</v>
      </c>
      <c r="E13" s="60">
        <v>122</v>
      </c>
      <c r="F13" s="61">
        <v>115</v>
      </c>
      <c r="G13" s="61">
        <v>107</v>
      </c>
      <c r="H13" s="61">
        <v>99</v>
      </c>
      <c r="I13" s="27" t="s">
        <v>153</v>
      </c>
      <c r="J13" s="105" t="s">
        <v>416</v>
      </c>
      <c r="K13" s="31" t="s">
        <v>157</v>
      </c>
      <c r="L13" s="30" t="s">
        <v>158</v>
      </c>
      <c r="M13" s="24"/>
      <c r="N13" s="29"/>
      <c r="O13" s="25"/>
    </row>
    <row r="14" spans="1:78" ht="25.5" x14ac:dyDescent="0.2">
      <c r="A14" s="23">
        <f t="shared" si="0"/>
        <v>11</v>
      </c>
      <c r="B14" s="107" t="s">
        <v>408</v>
      </c>
      <c r="C14" s="108" t="s">
        <v>406</v>
      </c>
      <c r="D14" s="108" t="s">
        <v>410</v>
      </c>
      <c r="E14" s="60">
        <v>110</v>
      </c>
      <c r="F14" s="61">
        <v>108</v>
      </c>
      <c r="G14" s="61">
        <v>107</v>
      </c>
      <c r="H14" s="61">
        <v>105</v>
      </c>
      <c r="I14" s="27" t="s">
        <v>93</v>
      </c>
      <c r="J14" s="105" t="s">
        <v>413</v>
      </c>
      <c r="K14" s="31" t="s">
        <v>157</v>
      </c>
      <c r="L14" s="30" t="s">
        <v>158</v>
      </c>
      <c r="M14" s="24"/>
      <c r="N14" s="29"/>
      <c r="O14" s="25"/>
    </row>
    <row r="15" spans="1:78" ht="25.5" x14ac:dyDescent="0.2">
      <c r="A15" s="23">
        <f t="shared" si="0"/>
        <v>12</v>
      </c>
      <c r="B15" s="107" t="s">
        <v>408</v>
      </c>
      <c r="C15" s="108" t="s">
        <v>406</v>
      </c>
      <c r="D15" s="108" t="s">
        <v>410</v>
      </c>
      <c r="E15" s="60">
        <v>110</v>
      </c>
      <c r="F15" s="61">
        <v>108</v>
      </c>
      <c r="G15" s="61">
        <v>107</v>
      </c>
      <c r="H15" s="61">
        <v>105</v>
      </c>
      <c r="I15" s="106" t="s">
        <v>153</v>
      </c>
      <c r="J15" s="105" t="s">
        <v>415</v>
      </c>
      <c r="K15" s="31" t="s">
        <v>157</v>
      </c>
      <c r="L15" s="30" t="s">
        <v>158</v>
      </c>
      <c r="M15" s="24"/>
      <c r="N15" s="29"/>
      <c r="O15" s="25"/>
    </row>
    <row r="16" spans="1:78" ht="25.5" x14ac:dyDescent="0.2">
      <c r="A16" s="23">
        <f t="shared" si="0"/>
        <v>13</v>
      </c>
      <c r="B16" s="107" t="s">
        <v>411</v>
      </c>
      <c r="C16" s="108" t="s">
        <v>406</v>
      </c>
      <c r="D16" s="108" t="s">
        <v>412</v>
      </c>
      <c r="E16" s="60">
        <v>189</v>
      </c>
      <c r="F16" s="61">
        <v>175</v>
      </c>
      <c r="G16" s="61">
        <v>158</v>
      </c>
      <c r="H16" s="61">
        <v>141</v>
      </c>
      <c r="I16" s="27" t="s">
        <v>93</v>
      </c>
      <c r="J16" s="105" t="s">
        <v>413</v>
      </c>
      <c r="K16" s="31" t="s">
        <v>157</v>
      </c>
      <c r="L16" s="30" t="s">
        <v>158</v>
      </c>
      <c r="M16" s="24"/>
      <c r="N16" s="29"/>
      <c r="O16" s="25"/>
    </row>
    <row r="17" spans="1:15" ht="25.5" x14ac:dyDescent="0.2">
      <c r="A17" s="23">
        <f t="shared" si="0"/>
        <v>14</v>
      </c>
      <c r="B17" s="107" t="s">
        <v>411</v>
      </c>
      <c r="C17" s="108" t="s">
        <v>406</v>
      </c>
      <c r="D17" s="108" t="s">
        <v>412</v>
      </c>
      <c r="E17" s="60">
        <v>189</v>
      </c>
      <c r="F17" s="61">
        <v>175</v>
      </c>
      <c r="G17" s="61">
        <v>158</v>
      </c>
      <c r="H17" s="61">
        <v>141</v>
      </c>
      <c r="I17" s="106" t="s">
        <v>153</v>
      </c>
      <c r="J17" s="105" t="s">
        <v>417</v>
      </c>
      <c r="K17" s="31" t="s">
        <v>157</v>
      </c>
      <c r="L17" s="30" t="s">
        <v>158</v>
      </c>
      <c r="M17" s="24"/>
      <c r="N17" s="29"/>
      <c r="O17" s="25"/>
    </row>
    <row r="18" spans="1:15" ht="25.5" x14ac:dyDescent="0.2">
      <c r="A18" s="23">
        <f t="shared" si="0"/>
        <v>15</v>
      </c>
      <c r="B18" s="37" t="s">
        <v>70</v>
      </c>
      <c r="C18" s="38" t="s">
        <v>69</v>
      </c>
      <c r="D18" s="38"/>
      <c r="E18" s="60">
        <v>245</v>
      </c>
      <c r="F18" s="61">
        <v>239</v>
      </c>
      <c r="G18" s="61">
        <v>231</v>
      </c>
      <c r="H18" s="61">
        <v>223</v>
      </c>
      <c r="I18" s="106" t="s">
        <v>93</v>
      </c>
      <c r="J18" s="105" t="s">
        <v>423</v>
      </c>
      <c r="K18" s="31" t="s">
        <v>157</v>
      </c>
      <c r="L18" s="30" t="s">
        <v>158</v>
      </c>
      <c r="M18" s="24"/>
      <c r="N18" s="29">
        <f>2.2+4.5</f>
        <v>6.7</v>
      </c>
      <c r="O18" s="25">
        <f>N18*1000/H18</f>
        <v>30.044843049327355</v>
      </c>
    </row>
    <row r="19" spans="1:15" ht="38.25" x14ac:dyDescent="0.2">
      <c r="A19" s="23">
        <f t="shared" si="0"/>
        <v>16</v>
      </c>
      <c r="B19" s="107" t="s">
        <v>70</v>
      </c>
      <c r="C19" s="38" t="s">
        <v>69</v>
      </c>
      <c r="D19" s="38"/>
      <c r="E19" s="60">
        <v>245</v>
      </c>
      <c r="F19" s="61">
        <v>239</v>
      </c>
      <c r="G19" s="61">
        <v>231</v>
      </c>
      <c r="H19" s="61">
        <v>223</v>
      </c>
      <c r="I19" s="106" t="s">
        <v>153</v>
      </c>
      <c r="J19" s="105" t="s">
        <v>422</v>
      </c>
      <c r="K19" s="31" t="s">
        <v>157</v>
      </c>
      <c r="L19" s="30" t="s">
        <v>158</v>
      </c>
      <c r="M19" s="24"/>
      <c r="N19" s="29">
        <f>1.6+5.8</f>
        <v>7.4</v>
      </c>
      <c r="O19" s="25">
        <f>N19*1000/H19</f>
        <v>33.183856502242151</v>
      </c>
    </row>
    <row r="20" spans="1:15" ht="25.5" x14ac:dyDescent="0.2">
      <c r="A20" s="23">
        <f t="shared" si="0"/>
        <v>17</v>
      </c>
      <c r="B20" s="37" t="s">
        <v>67</v>
      </c>
      <c r="C20" s="38" t="s">
        <v>69</v>
      </c>
      <c r="D20" s="38" t="s">
        <v>68</v>
      </c>
      <c r="E20" s="60">
        <v>71</v>
      </c>
      <c r="F20" s="61">
        <v>70</v>
      </c>
      <c r="G20" s="61">
        <v>69</v>
      </c>
      <c r="H20" s="61">
        <v>68</v>
      </c>
      <c r="I20" s="27" t="s">
        <v>93</v>
      </c>
      <c r="J20" s="105" t="s">
        <v>421</v>
      </c>
      <c r="K20" s="31" t="s">
        <v>157</v>
      </c>
      <c r="L20" s="30" t="s">
        <v>158</v>
      </c>
      <c r="M20" s="24"/>
      <c r="N20" s="29">
        <f>5.5+3.12</f>
        <v>8.620000000000001</v>
      </c>
      <c r="O20" s="25">
        <f>N20*1000/H20</f>
        <v>126.76470588235297</v>
      </c>
    </row>
    <row r="21" spans="1:15" ht="25.5" x14ac:dyDescent="0.2">
      <c r="A21" s="23">
        <f t="shared" si="0"/>
        <v>18</v>
      </c>
      <c r="B21" s="37" t="s">
        <v>67</v>
      </c>
      <c r="C21" s="38" t="s">
        <v>69</v>
      </c>
      <c r="D21" s="38" t="s">
        <v>68</v>
      </c>
      <c r="E21" s="60">
        <v>71</v>
      </c>
      <c r="F21" s="61">
        <v>70</v>
      </c>
      <c r="G21" s="61">
        <v>69</v>
      </c>
      <c r="H21" s="61">
        <v>68</v>
      </c>
      <c r="I21" s="106" t="s">
        <v>153</v>
      </c>
      <c r="J21" s="105" t="s">
        <v>366</v>
      </c>
      <c r="K21" s="31" t="s">
        <v>157</v>
      </c>
      <c r="L21" s="30" t="s">
        <v>224</v>
      </c>
      <c r="M21" s="24"/>
      <c r="N21" s="29">
        <v>9</v>
      </c>
      <c r="O21" s="25">
        <f>N21*1000/H21</f>
        <v>132.35294117647058</v>
      </c>
    </row>
  </sheetData>
  <autoFilter ref="A3:O20"/>
  <mergeCells count="2">
    <mergeCell ref="M1:N1"/>
    <mergeCell ref="E1:H1"/>
  </mergeCells>
  <phoneticPr fontId="2" type="noConversion"/>
  <conditionalFormatting sqref="A4:A21">
    <cfRule type="cellIs" dxfId="28" priority="3" stopIfTrue="1" operator="equal">
      <formula>A3</formula>
    </cfRule>
  </conditionalFormatting>
  <conditionalFormatting sqref="N4:N20">
    <cfRule type="cellIs" dxfId="27" priority="4" stopIfTrue="1" operator="equal">
      <formula>0</formula>
    </cfRule>
  </conditionalFormatting>
  <conditionalFormatting sqref="A3">
    <cfRule type="cellIs" dxfId="26" priority="5" stopIfTrue="1" operator="equal">
      <formula>#REF!</formula>
    </cfRule>
  </conditionalFormatting>
  <conditionalFormatting sqref="A18:A21">
    <cfRule type="cellIs" dxfId="25" priority="7" stopIfTrue="1" operator="equal">
      <formula>A9</formula>
    </cfRule>
  </conditionalFormatting>
  <conditionalFormatting sqref="A14">
    <cfRule type="cellIs" dxfId="24" priority="9" stopIfTrue="1" operator="equal">
      <formula>A11</formula>
    </cfRule>
  </conditionalFormatting>
  <conditionalFormatting sqref="A21">
    <cfRule type="cellIs" dxfId="23" priority="2" stopIfTrue="1" operator="equal">
      <formula>A20</formula>
    </cfRule>
  </conditionalFormatting>
  <conditionalFormatting sqref="N21">
    <cfRule type="cellIs" dxfId="22" priority="1" stopIfTrue="1" operator="equal">
      <formula>0</formula>
    </cfRule>
  </conditionalFormatting>
  <conditionalFormatting sqref="A20">
    <cfRule type="cellIs" dxfId="21" priority="11" stopIfTrue="1" operator="equal">
      <formula>A18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3"/>
  <sheetViews>
    <sheetView zoomScale="90" zoomScaleNormal="90" zoomScaleSheetLayoutView="90" workbookViewId="0">
      <selection activeCell="P1" sqref="P1:P1048576"/>
    </sheetView>
  </sheetViews>
  <sheetFormatPr defaultRowHeight="12.75" x14ac:dyDescent="0.2"/>
  <cols>
    <col min="1" max="1" width="5.140625" style="1" customWidth="1"/>
    <col min="2" max="2" width="13" style="1" bestFit="1" customWidth="1"/>
    <col min="3" max="3" width="14.42578125" style="1" customWidth="1"/>
    <col min="4" max="4" width="14.57031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" style="1" customWidth="1"/>
    <col min="13" max="13" width="8.85546875" style="1" customWidth="1"/>
    <col min="14" max="14" width="10.85546875" style="1" customWidth="1"/>
    <col min="15" max="15" width="11.42578125" style="1" customWidth="1"/>
    <col min="16" max="16" width="4.42578125" style="1" customWidth="1"/>
    <col min="17" max="31" width="9.140625" style="1"/>
    <col min="32" max="32" width="10.42578125" style="1" customWidth="1"/>
    <col min="33" max="37" width="9.140625" style="1"/>
    <col min="38" max="38" width="10.140625" style="1" bestFit="1" customWidth="1"/>
    <col min="39" max="59" width="9.140625" style="1"/>
    <col min="60" max="60" width="10.140625" style="1" bestFit="1" customWidth="1"/>
    <col min="61" max="61" width="10.140625" style="1" customWidth="1"/>
    <col min="62" max="62" width="11.42578125" style="1" bestFit="1" customWidth="1"/>
    <col min="63" max="63" width="9.140625" style="1"/>
    <col min="64" max="64" width="12.28515625" style="1" bestFit="1" customWidth="1"/>
    <col min="65" max="16384" width="9.140625" style="1"/>
  </cols>
  <sheetData>
    <row r="1" spans="1:92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10"/>
      <c r="BG1" s="9"/>
      <c r="BH1" s="9"/>
      <c r="BI1" s="9"/>
      <c r="BJ1" s="9"/>
      <c r="BK1" s="9"/>
      <c r="BL1" s="9"/>
    </row>
    <row r="2" spans="1:92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92" s="3" customFormat="1" ht="13.5" thickBot="1" x14ac:dyDescent="0.25">
      <c r="A3" s="54"/>
      <c r="B3" s="55"/>
      <c r="C3" s="55" t="s">
        <v>71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 s="3" customFormat="1" ht="25.5" x14ac:dyDescent="0.2">
      <c r="A4" s="23">
        <v>1</v>
      </c>
      <c r="B4" s="37" t="s">
        <v>75</v>
      </c>
      <c r="C4" s="38" t="s">
        <v>74</v>
      </c>
      <c r="D4" s="38"/>
      <c r="E4" s="60">
        <v>1026</v>
      </c>
      <c r="F4" s="61">
        <v>1026</v>
      </c>
      <c r="G4" s="61">
        <v>1025</v>
      </c>
      <c r="H4" s="61">
        <v>1025</v>
      </c>
      <c r="I4" s="27" t="s">
        <v>93</v>
      </c>
      <c r="J4" s="105" t="s">
        <v>390</v>
      </c>
      <c r="K4" s="31" t="s">
        <v>157</v>
      </c>
      <c r="L4" s="30" t="s">
        <v>180</v>
      </c>
      <c r="M4" s="24"/>
      <c r="N4" s="29"/>
      <c r="O4" s="2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s="3" customFormat="1" ht="51" x14ac:dyDescent="0.2">
      <c r="A5" s="23">
        <f t="shared" ref="A5:A23" si="0">IF(B5="",A4,A4+1)</f>
        <v>2</v>
      </c>
      <c r="B5" s="37" t="s">
        <v>75</v>
      </c>
      <c r="C5" s="38" t="s">
        <v>74</v>
      </c>
      <c r="D5" s="38"/>
      <c r="E5" s="60">
        <v>1026</v>
      </c>
      <c r="F5" s="61">
        <v>1026</v>
      </c>
      <c r="G5" s="61">
        <v>1025</v>
      </c>
      <c r="H5" s="61">
        <v>1025</v>
      </c>
      <c r="I5" s="27" t="s">
        <v>153</v>
      </c>
      <c r="J5" s="105" t="s">
        <v>389</v>
      </c>
      <c r="K5" s="31" t="s">
        <v>157</v>
      </c>
      <c r="L5" s="30" t="s">
        <v>158</v>
      </c>
      <c r="M5" s="24"/>
      <c r="N5" s="29"/>
      <c r="O5" s="2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s="3" customFormat="1" ht="51" x14ac:dyDescent="0.2">
      <c r="A6" s="23">
        <f t="shared" si="0"/>
        <v>3</v>
      </c>
      <c r="B6" s="107" t="s">
        <v>370</v>
      </c>
      <c r="C6" s="108" t="s">
        <v>74</v>
      </c>
      <c r="D6" s="108" t="s">
        <v>371</v>
      </c>
      <c r="E6" s="60"/>
      <c r="F6" s="61"/>
      <c r="G6" s="61"/>
      <c r="H6" s="61"/>
      <c r="I6" s="106" t="s">
        <v>93</v>
      </c>
      <c r="J6" s="105" t="s">
        <v>380</v>
      </c>
      <c r="K6" s="31" t="s">
        <v>156</v>
      </c>
      <c r="L6" s="30"/>
      <c r="M6" s="24"/>
      <c r="N6" s="29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s="3" customFormat="1" ht="38.25" x14ac:dyDescent="0.2">
      <c r="A7" s="23">
        <f t="shared" si="0"/>
        <v>4</v>
      </c>
      <c r="B7" s="107" t="s">
        <v>370</v>
      </c>
      <c r="C7" s="108" t="s">
        <v>74</v>
      </c>
      <c r="D7" s="108" t="s">
        <v>371</v>
      </c>
      <c r="E7" s="60"/>
      <c r="F7" s="61"/>
      <c r="G7" s="61"/>
      <c r="H7" s="61"/>
      <c r="I7" s="106" t="s">
        <v>153</v>
      </c>
      <c r="J7" s="105" t="s">
        <v>381</v>
      </c>
      <c r="K7" s="31" t="s">
        <v>157</v>
      </c>
      <c r="L7" s="30" t="s">
        <v>158</v>
      </c>
      <c r="M7" s="24"/>
      <c r="N7" s="29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1:92" s="3" customFormat="1" ht="25.5" x14ac:dyDescent="0.2">
      <c r="A8" s="23">
        <f t="shared" si="0"/>
        <v>5</v>
      </c>
      <c r="B8" s="107" t="s">
        <v>373</v>
      </c>
      <c r="C8" s="108" t="s">
        <v>74</v>
      </c>
      <c r="D8" s="108" t="s">
        <v>372</v>
      </c>
      <c r="E8" s="60"/>
      <c r="F8" s="61"/>
      <c r="G8" s="61"/>
      <c r="H8" s="61"/>
      <c r="I8" s="106" t="s">
        <v>93</v>
      </c>
      <c r="J8" s="44" t="s">
        <v>379</v>
      </c>
      <c r="K8" s="31" t="s">
        <v>156</v>
      </c>
      <c r="L8" s="30"/>
      <c r="M8" s="24"/>
      <c r="N8" s="29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 s="3" customFormat="1" ht="51" x14ac:dyDescent="0.2">
      <c r="A9" s="23">
        <f t="shared" si="0"/>
        <v>6</v>
      </c>
      <c r="B9" s="107" t="s">
        <v>373</v>
      </c>
      <c r="C9" s="108" t="s">
        <v>74</v>
      </c>
      <c r="D9" s="108" t="s">
        <v>372</v>
      </c>
      <c r="E9" s="60"/>
      <c r="F9" s="61"/>
      <c r="G9" s="61"/>
      <c r="H9" s="61"/>
      <c r="I9" s="106" t="s">
        <v>153</v>
      </c>
      <c r="J9" s="105" t="s">
        <v>383</v>
      </c>
      <c r="K9" s="31" t="s">
        <v>157</v>
      </c>
      <c r="L9" s="30" t="s">
        <v>158</v>
      </c>
      <c r="M9" s="24"/>
      <c r="N9" s="29"/>
      <c r="O9" s="2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1:92" s="3" customFormat="1" ht="25.5" x14ac:dyDescent="0.2">
      <c r="A10" s="23">
        <f t="shared" si="0"/>
        <v>7</v>
      </c>
      <c r="B10" s="107" t="s">
        <v>374</v>
      </c>
      <c r="C10" s="108" t="s">
        <v>74</v>
      </c>
      <c r="D10" s="108" t="s">
        <v>375</v>
      </c>
      <c r="E10" s="60"/>
      <c r="F10" s="61"/>
      <c r="G10" s="61"/>
      <c r="H10" s="61"/>
      <c r="I10" s="106" t="s">
        <v>93</v>
      </c>
      <c r="J10" s="44" t="s">
        <v>379</v>
      </c>
      <c r="K10" s="31" t="s">
        <v>156</v>
      </c>
      <c r="L10" s="30"/>
      <c r="M10" s="24"/>
      <c r="N10" s="29"/>
      <c r="O10" s="2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</row>
    <row r="11" spans="1:92" s="3" customFormat="1" ht="51" x14ac:dyDescent="0.2">
      <c r="A11" s="23">
        <f t="shared" si="0"/>
        <v>8</v>
      </c>
      <c r="B11" s="107" t="s">
        <v>374</v>
      </c>
      <c r="C11" s="108" t="s">
        <v>74</v>
      </c>
      <c r="D11" s="108" t="s">
        <v>375</v>
      </c>
      <c r="E11" s="60"/>
      <c r="F11" s="61"/>
      <c r="G11" s="61"/>
      <c r="H11" s="61"/>
      <c r="I11" s="106" t="s">
        <v>153</v>
      </c>
      <c r="J11" s="105" t="s">
        <v>382</v>
      </c>
      <c r="K11" s="31" t="s">
        <v>157</v>
      </c>
      <c r="L11" s="30" t="s">
        <v>158</v>
      </c>
      <c r="M11" s="24"/>
      <c r="N11" s="29"/>
      <c r="O11" s="2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</row>
    <row r="12" spans="1:92" s="3" customFormat="1" ht="25.5" x14ac:dyDescent="0.2">
      <c r="A12" s="23">
        <f t="shared" si="0"/>
        <v>9</v>
      </c>
      <c r="B12" s="37" t="s">
        <v>72</v>
      </c>
      <c r="C12" s="38" t="s">
        <v>74</v>
      </c>
      <c r="D12" s="38" t="s">
        <v>73</v>
      </c>
      <c r="E12" s="60">
        <v>45</v>
      </c>
      <c r="F12" s="61">
        <v>41</v>
      </c>
      <c r="G12" s="61">
        <v>35</v>
      </c>
      <c r="H12" s="61">
        <v>29</v>
      </c>
      <c r="I12" s="27" t="s">
        <v>93</v>
      </c>
      <c r="J12" s="44" t="s">
        <v>379</v>
      </c>
      <c r="K12" s="31" t="s">
        <v>156</v>
      </c>
      <c r="L12" s="30"/>
      <c r="M12" s="24"/>
      <c r="N12" s="29"/>
      <c r="O12" s="2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92" s="3" customFormat="1" ht="38.25" x14ac:dyDescent="0.2">
      <c r="A13" s="23">
        <f t="shared" si="0"/>
        <v>10</v>
      </c>
      <c r="B13" s="37" t="s">
        <v>72</v>
      </c>
      <c r="C13" s="38" t="s">
        <v>74</v>
      </c>
      <c r="D13" s="38" t="s">
        <v>73</v>
      </c>
      <c r="E13" s="60">
        <v>45</v>
      </c>
      <c r="F13" s="61">
        <v>41</v>
      </c>
      <c r="G13" s="61">
        <v>35</v>
      </c>
      <c r="H13" s="61">
        <v>29</v>
      </c>
      <c r="I13" s="106" t="s">
        <v>153</v>
      </c>
      <c r="J13" s="44" t="s">
        <v>381</v>
      </c>
      <c r="K13" s="31" t="s">
        <v>157</v>
      </c>
      <c r="L13" s="30" t="s">
        <v>158</v>
      </c>
      <c r="M13" s="24"/>
      <c r="N13" s="29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 s="3" customFormat="1" ht="25.5" x14ac:dyDescent="0.2">
      <c r="A14" s="23">
        <f t="shared" si="0"/>
        <v>11</v>
      </c>
      <c r="B14" s="37" t="s">
        <v>376</v>
      </c>
      <c r="C14" s="38" t="s">
        <v>74</v>
      </c>
      <c r="D14" s="108" t="s">
        <v>377</v>
      </c>
      <c r="E14" s="60"/>
      <c r="F14" s="61"/>
      <c r="G14" s="61"/>
      <c r="H14" s="61"/>
      <c r="I14" s="27" t="s">
        <v>93</v>
      </c>
      <c r="J14" s="44" t="s">
        <v>379</v>
      </c>
      <c r="K14" s="31" t="s">
        <v>156</v>
      </c>
      <c r="L14" s="30"/>
      <c r="M14" s="24"/>
      <c r="N14" s="29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92" s="3" customFormat="1" ht="38.25" x14ac:dyDescent="0.2">
      <c r="A15" s="23">
        <f t="shared" si="0"/>
        <v>12</v>
      </c>
      <c r="B15" s="37" t="s">
        <v>376</v>
      </c>
      <c r="C15" s="38" t="s">
        <v>74</v>
      </c>
      <c r="D15" s="108" t="s">
        <v>377</v>
      </c>
      <c r="E15" s="60"/>
      <c r="F15" s="61"/>
      <c r="G15" s="61"/>
      <c r="H15" s="61"/>
      <c r="I15" s="106" t="s">
        <v>153</v>
      </c>
      <c r="J15" s="44" t="s">
        <v>381</v>
      </c>
      <c r="K15" s="31" t="s">
        <v>157</v>
      </c>
      <c r="L15" s="30" t="s">
        <v>158</v>
      </c>
      <c r="M15" s="24"/>
      <c r="N15" s="29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92" s="3" customFormat="1" ht="25.5" x14ac:dyDescent="0.2">
      <c r="A16" s="23">
        <f t="shared" si="0"/>
        <v>13</v>
      </c>
      <c r="B16" s="37" t="s">
        <v>76</v>
      </c>
      <c r="C16" s="38" t="s">
        <v>74</v>
      </c>
      <c r="D16" s="38" t="s">
        <v>174</v>
      </c>
      <c r="E16" s="60">
        <v>88</v>
      </c>
      <c r="F16" s="61">
        <v>83</v>
      </c>
      <c r="G16" s="61">
        <v>76</v>
      </c>
      <c r="H16" s="61">
        <v>70</v>
      </c>
      <c r="I16" s="27" t="s">
        <v>93</v>
      </c>
      <c r="J16" s="44" t="s">
        <v>379</v>
      </c>
      <c r="K16" s="31" t="s">
        <v>156</v>
      </c>
      <c r="L16" s="30"/>
      <c r="M16" s="24"/>
      <c r="N16" s="29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92" s="3" customFormat="1" ht="51" x14ac:dyDescent="0.2">
      <c r="A17" s="23">
        <f t="shared" si="0"/>
        <v>14</v>
      </c>
      <c r="B17" s="37" t="s">
        <v>76</v>
      </c>
      <c r="C17" s="38" t="s">
        <v>74</v>
      </c>
      <c r="D17" s="38" t="s">
        <v>174</v>
      </c>
      <c r="E17" s="60">
        <v>88</v>
      </c>
      <c r="F17" s="61">
        <v>83</v>
      </c>
      <c r="G17" s="61">
        <v>76</v>
      </c>
      <c r="H17" s="61">
        <v>70</v>
      </c>
      <c r="I17" s="27" t="s">
        <v>153</v>
      </c>
      <c r="J17" s="105" t="s">
        <v>382</v>
      </c>
      <c r="K17" s="31" t="s">
        <v>157</v>
      </c>
      <c r="L17" s="30" t="s">
        <v>158</v>
      </c>
      <c r="M17" s="24"/>
      <c r="N17" s="29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92" s="3" customFormat="1" ht="25.5" x14ac:dyDescent="0.2">
      <c r="A18" s="23">
        <f t="shared" si="0"/>
        <v>15</v>
      </c>
      <c r="B18" s="37" t="s">
        <v>378</v>
      </c>
      <c r="C18" s="38" t="s">
        <v>74</v>
      </c>
      <c r="D18" s="108" t="s">
        <v>8</v>
      </c>
      <c r="E18" s="60"/>
      <c r="F18" s="61"/>
      <c r="G18" s="61"/>
      <c r="H18" s="61"/>
      <c r="I18" s="106" t="s">
        <v>93</v>
      </c>
      <c r="J18" s="105" t="s">
        <v>379</v>
      </c>
      <c r="K18" s="31" t="s">
        <v>156</v>
      </c>
      <c r="L18" s="30"/>
      <c r="M18" s="24"/>
      <c r="N18" s="29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92" s="3" customFormat="1" ht="38.25" x14ac:dyDescent="0.2">
      <c r="A19" s="23">
        <f t="shared" si="0"/>
        <v>16</v>
      </c>
      <c r="B19" s="37" t="s">
        <v>378</v>
      </c>
      <c r="C19" s="38" t="s">
        <v>74</v>
      </c>
      <c r="D19" s="108" t="s">
        <v>8</v>
      </c>
      <c r="E19" s="60"/>
      <c r="F19" s="61"/>
      <c r="G19" s="61"/>
      <c r="H19" s="61"/>
      <c r="I19" s="106" t="s">
        <v>153</v>
      </c>
      <c r="J19" s="105" t="s">
        <v>381</v>
      </c>
      <c r="K19" s="31" t="s">
        <v>157</v>
      </c>
      <c r="L19" s="30" t="s">
        <v>158</v>
      </c>
      <c r="M19" s="24"/>
      <c r="N19" s="29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 ht="25.5" x14ac:dyDescent="0.2">
      <c r="A20" s="23">
        <f t="shared" si="0"/>
        <v>17</v>
      </c>
      <c r="B20" s="107" t="s">
        <v>384</v>
      </c>
      <c r="C20" s="108" t="s">
        <v>385</v>
      </c>
      <c r="D20" s="38"/>
      <c r="E20" s="60">
        <v>158</v>
      </c>
      <c r="F20" s="61">
        <v>144</v>
      </c>
      <c r="G20" s="61">
        <v>126</v>
      </c>
      <c r="H20" s="61">
        <v>235</v>
      </c>
      <c r="I20" s="27" t="s">
        <v>93</v>
      </c>
      <c r="J20" s="105" t="s">
        <v>392</v>
      </c>
      <c r="K20" s="31" t="s">
        <v>157</v>
      </c>
      <c r="L20" s="30" t="s">
        <v>158</v>
      </c>
      <c r="M20" s="24"/>
      <c r="N20" s="29"/>
      <c r="O20" s="25"/>
    </row>
    <row r="21" spans="1:92" ht="25.5" x14ac:dyDescent="0.2">
      <c r="A21" s="23">
        <f t="shared" si="0"/>
        <v>18</v>
      </c>
      <c r="B21" s="107" t="s">
        <v>384</v>
      </c>
      <c r="C21" s="108" t="s">
        <v>385</v>
      </c>
      <c r="D21" s="38"/>
      <c r="E21" s="60">
        <v>158</v>
      </c>
      <c r="F21" s="61">
        <v>144</v>
      </c>
      <c r="G21" s="61">
        <v>126</v>
      </c>
      <c r="H21" s="61">
        <v>235</v>
      </c>
      <c r="I21" s="106" t="s">
        <v>153</v>
      </c>
      <c r="J21" s="105" t="s">
        <v>391</v>
      </c>
      <c r="K21" s="31" t="s">
        <v>157</v>
      </c>
      <c r="L21" s="30" t="s">
        <v>158</v>
      </c>
      <c r="M21" s="24"/>
      <c r="N21" s="29"/>
      <c r="O21" s="25"/>
    </row>
    <row r="22" spans="1:92" x14ac:dyDescent="0.2">
      <c r="A22" s="23">
        <f t="shared" si="0"/>
        <v>19</v>
      </c>
      <c r="B22" s="107" t="s">
        <v>386</v>
      </c>
      <c r="C22" s="108" t="s">
        <v>387</v>
      </c>
      <c r="D22" s="38"/>
      <c r="E22" s="60"/>
      <c r="F22" s="61"/>
      <c r="G22" s="61"/>
      <c r="H22" s="61"/>
      <c r="I22" s="27" t="s">
        <v>93</v>
      </c>
      <c r="J22" s="105" t="s">
        <v>388</v>
      </c>
      <c r="K22" s="31" t="s">
        <v>157</v>
      </c>
      <c r="L22" s="30" t="s">
        <v>180</v>
      </c>
      <c r="M22" s="24"/>
      <c r="N22" s="29"/>
      <c r="O22" s="25"/>
    </row>
    <row r="23" spans="1:92" x14ac:dyDescent="0.2">
      <c r="A23" s="23">
        <f t="shared" si="0"/>
        <v>20</v>
      </c>
      <c r="B23" s="107" t="s">
        <v>386</v>
      </c>
      <c r="C23" s="108" t="s">
        <v>387</v>
      </c>
      <c r="D23" s="38"/>
      <c r="E23" s="60"/>
      <c r="F23" s="61"/>
      <c r="G23" s="61"/>
      <c r="H23" s="61"/>
      <c r="I23" s="106" t="s">
        <v>153</v>
      </c>
      <c r="J23" s="105" t="s">
        <v>388</v>
      </c>
      <c r="K23" s="31" t="s">
        <v>157</v>
      </c>
      <c r="L23" s="30" t="s">
        <v>180</v>
      </c>
      <c r="M23" s="24"/>
      <c r="N23" s="29"/>
      <c r="O23" s="25"/>
    </row>
  </sheetData>
  <autoFilter ref="A3:O23"/>
  <mergeCells count="2">
    <mergeCell ref="M1:N1"/>
    <mergeCell ref="E1:H1"/>
  </mergeCells>
  <phoneticPr fontId="2" type="noConversion"/>
  <conditionalFormatting sqref="A5:A23">
    <cfRule type="cellIs" dxfId="20" priority="2" stopIfTrue="1" operator="equal">
      <formula>A4</formula>
    </cfRule>
  </conditionalFormatting>
  <conditionalFormatting sqref="N4:N23">
    <cfRule type="cellIs" dxfId="19" priority="3" stopIfTrue="1" operator="equal">
      <formula>0</formula>
    </cfRule>
  </conditionalFormatting>
  <conditionalFormatting sqref="A3">
    <cfRule type="cellIs" dxfId="18" priority="4" stopIfTrue="1" operator="equal">
      <formula>#REF!</formula>
    </cfRule>
  </conditionalFormatting>
  <conditionalFormatting sqref="A4">
    <cfRule type="cellIs" dxfId="17" priority="5" stopIfTrue="1" operator="equal">
      <formula>#REF!</formula>
    </cfRule>
  </conditionalFormatting>
  <conditionalFormatting sqref="A12:A19">
    <cfRule type="cellIs" dxfId="16" priority="7" stopIfTrue="1" operator="equal">
      <formula>A5</formula>
    </cfRule>
  </conditionalFormatting>
  <conditionalFormatting sqref="A7:A8">
    <cfRule type="cellIs" dxfId="15" priority="9" stopIfTrue="1" operator="equal">
      <formula>A5</formula>
    </cfRule>
  </conditionalFormatting>
  <conditionalFormatting sqref="A9:A23">
    <cfRule type="cellIs" dxfId="14" priority="11" stopIfTrue="1" operator="equal">
      <formula>A6</formula>
    </cfRule>
  </conditionalFormatting>
  <conditionalFormatting sqref="A16">
    <cfRule type="cellIs" dxfId="13" priority="15" stopIfTrue="1" operator="equal">
      <formula>A12</formula>
    </cfRule>
  </conditionalFormatting>
  <conditionalFormatting sqref="A16:A19">
    <cfRule type="cellIs" dxfId="12" priority="17" stopIfTrue="1" operator="equal">
      <formula>A11</formula>
    </cfRule>
  </conditionalFormatting>
  <conditionalFormatting sqref="A20:A23">
    <cfRule type="cellIs" dxfId="11" priority="22" stopIfTrue="1" operator="equal">
      <formula>A13</formula>
    </cfRule>
  </conditionalFormatting>
  <conditionalFormatting sqref="A21:A22">
    <cfRule type="cellIs" dxfId="10" priority="27" stopIfTrue="1" operator="equal">
      <formula>A16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8"/>
  <sheetViews>
    <sheetView zoomScale="90" zoomScaleNormal="90" zoomScaleSheetLayoutView="90" workbookViewId="0">
      <selection activeCell="J32" sqref="J32"/>
    </sheetView>
  </sheetViews>
  <sheetFormatPr defaultRowHeight="12.75" x14ac:dyDescent="0.2"/>
  <cols>
    <col min="1" max="1" width="5.28515625" style="1" customWidth="1"/>
    <col min="2" max="2" width="13" style="1" bestFit="1" customWidth="1"/>
    <col min="3" max="4" width="11.8554687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140625" style="1" customWidth="1"/>
    <col min="13" max="13" width="8.85546875" style="1" customWidth="1"/>
    <col min="14" max="15" width="11.42578125" style="1" customWidth="1"/>
    <col min="16" max="16" width="4.42578125" style="1" customWidth="1"/>
    <col min="17" max="25" width="9.140625" style="1"/>
    <col min="26" max="26" width="10.42578125" style="1" customWidth="1"/>
    <col min="27" max="31" width="9.140625" style="1"/>
    <col min="32" max="32" width="10.140625" style="1" bestFit="1" customWidth="1"/>
    <col min="33" max="53" width="9.140625" style="1"/>
    <col min="54" max="54" width="10.140625" style="1" bestFit="1" customWidth="1"/>
    <col min="55" max="55" width="10.140625" style="1" customWidth="1"/>
    <col min="56" max="56" width="11.42578125" style="1" bestFit="1" customWidth="1"/>
    <col min="57" max="57" width="9.140625" style="1"/>
    <col min="58" max="58" width="12.28515625" style="1" bestFit="1" customWidth="1"/>
    <col min="59" max="16384" width="9.140625" style="1"/>
  </cols>
  <sheetData>
    <row r="1" spans="1:86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10"/>
      <c r="BA1" s="9"/>
      <c r="BB1" s="9"/>
      <c r="BC1" s="9"/>
      <c r="BD1" s="9"/>
      <c r="BE1" s="9"/>
      <c r="BF1" s="9"/>
    </row>
    <row r="2" spans="1:86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86" s="3" customFormat="1" ht="13.5" thickBot="1" x14ac:dyDescent="0.25">
      <c r="A3" s="54"/>
      <c r="B3" s="55"/>
      <c r="C3" s="55" t="s">
        <v>77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s="3" customFormat="1" ht="25.5" x14ac:dyDescent="0.2">
      <c r="A4" s="39">
        <f>IF(B4="",A3,A3+1)</f>
        <v>1</v>
      </c>
      <c r="B4" s="122" t="s">
        <v>358</v>
      </c>
      <c r="C4" s="123" t="s">
        <v>359</v>
      </c>
      <c r="D4" s="82"/>
      <c r="E4" s="63">
        <v>1108</v>
      </c>
      <c r="F4" s="64">
        <v>1087</v>
      </c>
      <c r="G4" s="64">
        <v>1062</v>
      </c>
      <c r="H4" s="64">
        <v>1190</v>
      </c>
      <c r="I4" s="41" t="s">
        <v>93</v>
      </c>
      <c r="J4" s="121" t="s">
        <v>368</v>
      </c>
      <c r="K4" s="67" t="s">
        <v>157</v>
      </c>
      <c r="L4" s="83" t="s">
        <v>158</v>
      </c>
      <c r="M4" s="40"/>
      <c r="N4" s="42">
        <f>1.78</f>
        <v>1.78</v>
      </c>
      <c r="O4" s="68">
        <f>N4*1000/H4</f>
        <v>1.4957983193277311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x14ac:dyDescent="0.2">
      <c r="A5" s="23">
        <f>IF(B5="",A4,A4+1)</f>
        <v>2</v>
      </c>
      <c r="B5" s="107" t="s">
        <v>358</v>
      </c>
      <c r="C5" s="108" t="s">
        <v>359</v>
      </c>
      <c r="D5" s="38"/>
      <c r="E5" s="60"/>
      <c r="F5" s="61"/>
      <c r="G5" s="61"/>
      <c r="H5" s="61"/>
      <c r="I5" s="27" t="s">
        <v>153</v>
      </c>
      <c r="J5" s="105" t="s">
        <v>369</v>
      </c>
      <c r="K5" s="31" t="s">
        <v>156</v>
      </c>
      <c r="L5" s="30"/>
      <c r="M5" s="24"/>
      <c r="N5" s="29"/>
      <c r="O5" s="25"/>
    </row>
    <row r="6" spans="1:86" ht="25.5" x14ac:dyDescent="0.2">
      <c r="A6" s="23">
        <v>3</v>
      </c>
      <c r="B6" s="107" t="s">
        <v>360</v>
      </c>
      <c r="C6" s="108" t="s">
        <v>359</v>
      </c>
      <c r="D6" s="108" t="s">
        <v>361</v>
      </c>
      <c r="E6" s="60"/>
      <c r="F6" s="61"/>
      <c r="G6" s="61"/>
      <c r="H6" s="61"/>
      <c r="I6" s="27" t="s">
        <v>153</v>
      </c>
      <c r="J6" s="105" t="s">
        <v>367</v>
      </c>
      <c r="K6" s="31" t="s">
        <v>157</v>
      </c>
      <c r="L6" s="30" t="s">
        <v>224</v>
      </c>
      <c r="M6" s="24"/>
      <c r="N6" s="29"/>
      <c r="O6" s="25"/>
    </row>
    <row r="7" spans="1:86" x14ac:dyDescent="0.2">
      <c r="A7" s="23">
        <v>4</v>
      </c>
      <c r="B7" s="107" t="s">
        <v>362</v>
      </c>
      <c r="C7" s="108" t="s">
        <v>364</v>
      </c>
      <c r="D7" s="38"/>
      <c r="E7" s="60"/>
      <c r="F7" s="61"/>
      <c r="G7" s="61"/>
      <c r="H7" s="61"/>
      <c r="I7" s="27" t="s">
        <v>153</v>
      </c>
      <c r="J7" s="105" t="s">
        <v>366</v>
      </c>
      <c r="K7" s="31" t="s">
        <v>157</v>
      </c>
      <c r="L7" s="30" t="s">
        <v>224</v>
      </c>
      <c r="M7" s="24"/>
      <c r="N7" s="29"/>
      <c r="O7" s="25"/>
    </row>
    <row r="8" spans="1:86" ht="13.5" thickBot="1" x14ac:dyDescent="0.25">
      <c r="A8" s="69">
        <v>5</v>
      </c>
      <c r="B8" s="113" t="s">
        <v>363</v>
      </c>
      <c r="C8" s="114" t="s">
        <v>364</v>
      </c>
      <c r="D8" s="114" t="s">
        <v>365</v>
      </c>
      <c r="E8" s="80"/>
      <c r="F8" s="70"/>
      <c r="G8" s="70"/>
      <c r="H8" s="70"/>
      <c r="I8" s="115" t="s">
        <v>153</v>
      </c>
      <c r="J8" s="116" t="s">
        <v>366</v>
      </c>
      <c r="K8" s="74" t="s">
        <v>157</v>
      </c>
      <c r="L8" s="75" t="s">
        <v>224</v>
      </c>
      <c r="M8" s="71"/>
      <c r="N8" s="77"/>
      <c r="O8" s="76"/>
    </row>
  </sheetData>
  <autoFilter ref="A3:O8"/>
  <mergeCells count="2">
    <mergeCell ref="M1:N1"/>
    <mergeCell ref="E1:H1"/>
  </mergeCells>
  <phoneticPr fontId="2" type="noConversion"/>
  <conditionalFormatting sqref="A4:A5">
    <cfRule type="cellIs" dxfId="9" priority="1" stopIfTrue="1" operator="equal">
      <formula>A3</formula>
    </cfRule>
  </conditionalFormatting>
  <conditionalFormatting sqref="N4:N8">
    <cfRule type="cellIs" dxfId="8" priority="2" stopIfTrue="1" operator="equal">
      <formula>0</formula>
    </cfRule>
  </conditionalFormatting>
  <conditionalFormatting sqref="A3">
    <cfRule type="cellIs" dxfId="7" priority="3" stopIfTrue="1" operator="equal">
      <formula>#REF!</formula>
    </cfRule>
  </conditionalFormatting>
  <conditionalFormatting sqref="A6:A8">
    <cfRule type="cellIs" dxfId="6" priority="5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7"/>
  <sheetViews>
    <sheetView zoomScale="90" zoomScaleNormal="90" zoomScaleSheetLayoutView="90" zoomScalePageLayoutView="80" workbookViewId="0">
      <selection activeCell="J23" sqref="J23"/>
    </sheetView>
  </sheetViews>
  <sheetFormatPr defaultRowHeight="12.75" x14ac:dyDescent="0.2"/>
  <cols>
    <col min="1" max="1" width="5.28515625" style="1" customWidth="1"/>
    <col min="2" max="2" width="13" style="1" bestFit="1" customWidth="1"/>
    <col min="3" max="3" width="11" style="1" customWidth="1"/>
    <col min="4" max="4" width="12.28515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85546875" style="1" customWidth="1"/>
    <col min="13" max="13" width="8.85546875" style="1" customWidth="1"/>
    <col min="14" max="14" width="10.85546875" style="1" customWidth="1"/>
    <col min="15" max="15" width="11.42578125" style="1" customWidth="1"/>
    <col min="16" max="16" width="4.42578125" style="1" customWidth="1"/>
    <col min="17" max="30" width="9.140625" style="1"/>
    <col min="31" max="31" width="10.42578125" style="1" customWidth="1"/>
    <col min="32" max="36" width="9.140625" style="1"/>
    <col min="37" max="37" width="10.140625" style="1" bestFit="1" customWidth="1"/>
    <col min="38" max="58" width="9.140625" style="1"/>
    <col min="59" max="59" width="10.140625" style="1" bestFit="1" customWidth="1"/>
    <col min="60" max="60" width="10.140625" style="1" customWidth="1"/>
    <col min="61" max="61" width="11.42578125" style="1" bestFit="1" customWidth="1"/>
    <col min="62" max="62" width="9.140625" style="1"/>
    <col min="63" max="63" width="12.28515625" style="1" bestFit="1" customWidth="1"/>
    <col min="64" max="16384" width="9.140625" style="1"/>
  </cols>
  <sheetData>
    <row r="1" spans="1:91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  <c r="BF1" s="9"/>
      <c r="BG1" s="9"/>
      <c r="BH1" s="9"/>
      <c r="BI1" s="9"/>
      <c r="BJ1" s="9"/>
      <c r="BK1" s="9"/>
    </row>
    <row r="2" spans="1:91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91" s="3" customFormat="1" ht="13.5" thickBot="1" x14ac:dyDescent="0.25">
      <c r="A3" s="54"/>
      <c r="B3" s="55"/>
      <c r="C3" s="55" t="s">
        <v>79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91" s="3" customFormat="1" x14ac:dyDescent="0.2">
      <c r="A4" s="39">
        <f>IF(B4="",A3,A3+1)</f>
        <v>1</v>
      </c>
      <c r="B4" s="122" t="s">
        <v>335</v>
      </c>
      <c r="C4" s="123" t="s">
        <v>336</v>
      </c>
      <c r="D4" s="82"/>
      <c r="E4" s="63">
        <v>282</v>
      </c>
      <c r="F4" s="64">
        <v>256</v>
      </c>
      <c r="G4" s="64">
        <v>223</v>
      </c>
      <c r="H4" s="64">
        <v>402</v>
      </c>
      <c r="I4" s="102" t="s">
        <v>93</v>
      </c>
      <c r="J4" s="135" t="s">
        <v>342</v>
      </c>
      <c r="K4" s="67" t="s">
        <v>157</v>
      </c>
      <c r="L4" s="83" t="s">
        <v>158</v>
      </c>
      <c r="M4" s="40"/>
      <c r="N4" s="42">
        <f>0.88+0.5</f>
        <v>1.38</v>
      </c>
      <c r="O4" s="68">
        <f>N4*1000/H4</f>
        <v>3.4328358208955225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91" ht="25.5" x14ac:dyDescent="0.2">
      <c r="A5" s="23">
        <f>IF(B5="",A4,A4+1)</f>
        <v>2</v>
      </c>
      <c r="B5" s="107" t="s">
        <v>335</v>
      </c>
      <c r="C5" s="108" t="s">
        <v>336</v>
      </c>
      <c r="D5" s="38"/>
      <c r="E5" s="60">
        <v>282</v>
      </c>
      <c r="F5" s="61">
        <v>256</v>
      </c>
      <c r="G5" s="61">
        <v>223</v>
      </c>
      <c r="H5" s="61">
        <v>402</v>
      </c>
      <c r="I5" s="106" t="s">
        <v>153</v>
      </c>
      <c r="J5" s="105" t="s">
        <v>344</v>
      </c>
      <c r="K5" s="31" t="s">
        <v>157</v>
      </c>
      <c r="L5" s="30" t="s">
        <v>158</v>
      </c>
      <c r="M5" s="24"/>
      <c r="N5" s="29">
        <f>9.28+0.3</f>
        <v>9.58</v>
      </c>
      <c r="O5" s="25">
        <f>N5*1000/H5</f>
        <v>23.830845771144279</v>
      </c>
    </row>
    <row r="6" spans="1:91" x14ac:dyDescent="0.2">
      <c r="A6" s="23">
        <f>IF(B6="",A5,A5+1)</f>
        <v>3</v>
      </c>
      <c r="B6" s="107" t="s">
        <v>337</v>
      </c>
      <c r="C6" s="108" t="s">
        <v>336</v>
      </c>
      <c r="D6" s="108" t="s">
        <v>338</v>
      </c>
      <c r="E6" s="60"/>
      <c r="F6" s="61"/>
      <c r="G6" s="61"/>
      <c r="H6" s="61"/>
      <c r="I6" s="106" t="s">
        <v>93</v>
      </c>
      <c r="J6" s="112" t="s">
        <v>342</v>
      </c>
      <c r="K6" s="31" t="s">
        <v>157</v>
      </c>
      <c r="L6" s="30" t="s">
        <v>158</v>
      </c>
      <c r="M6" s="24"/>
      <c r="N6" s="29"/>
      <c r="O6" s="25"/>
    </row>
    <row r="7" spans="1:91" ht="25.5" x14ac:dyDescent="0.2">
      <c r="A7" s="23">
        <f>IF(B7="",A6,A6+1)</f>
        <v>4</v>
      </c>
      <c r="B7" s="107" t="s">
        <v>337</v>
      </c>
      <c r="C7" s="108" t="s">
        <v>336</v>
      </c>
      <c r="D7" s="108" t="s">
        <v>338</v>
      </c>
      <c r="E7" s="60"/>
      <c r="F7" s="61"/>
      <c r="G7" s="61"/>
      <c r="H7" s="61"/>
      <c r="I7" s="106" t="s">
        <v>153</v>
      </c>
      <c r="J7" s="112" t="s">
        <v>343</v>
      </c>
      <c r="K7" s="31" t="s">
        <v>156</v>
      </c>
      <c r="L7" s="30"/>
      <c r="M7" s="24"/>
      <c r="N7" s="29"/>
      <c r="O7" s="25"/>
    </row>
    <row r="8" spans="1:91" x14ac:dyDescent="0.2">
      <c r="A8" s="109">
        <v>5</v>
      </c>
      <c r="B8" s="107" t="s">
        <v>339</v>
      </c>
      <c r="C8" s="108" t="s">
        <v>336</v>
      </c>
      <c r="D8" s="110" t="s">
        <v>340</v>
      </c>
      <c r="E8" s="84"/>
      <c r="F8" s="85"/>
      <c r="G8" s="85"/>
      <c r="H8" s="85"/>
      <c r="I8" s="111" t="s">
        <v>93</v>
      </c>
      <c r="J8" s="112" t="s">
        <v>342</v>
      </c>
      <c r="K8" s="87" t="s">
        <v>157</v>
      </c>
      <c r="L8" s="88" t="s">
        <v>158</v>
      </c>
      <c r="M8" s="86"/>
      <c r="N8" s="89"/>
      <c r="O8" s="90"/>
    </row>
    <row r="9" spans="1:91" x14ac:dyDescent="0.2">
      <c r="A9" s="109">
        <v>6</v>
      </c>
      <c r="B9" s="107" t="s">
        <v>339</v>
      </c>
      <c r="C9" s="108" t="s">
        <v>336</v>
      </c>
      <c r="D9" s="110" t="s">
        <v>340</v>
      </c>
      <c r="E9" s="84"/>
      <c r="F9" s="85"/>
      <c r="G9" s="85"/>
      <c r="H9" s="85"/>
      <c r="I9" s="111" t="s">
        <v>153</v>
      </c>
      <c r="J9" s="112" t="s">
        <v>341</v>
      </c>
      <c r="K9" s="87" t="s">
        <v>156</v>
      </c>
      <c r="L9" s="88"/>
      <c r="M9" s="86"/>
      <c r="N9" s="89"/>
      <c r="O9" s="90"/>
    </row>
    <row r="10" spans="1:91" ht="25.5" x14ac:dyDescent="0.2">
      <c r="A10" s="109">
        <v>7</v>
      </c>
      <c r="B10" s="107" t="s">
        <v>347</v>
      </c>
      <c r="C10" s="110" t="s">
        <v>81</v>
      </c>
      <c r="D10" s="110"/>
      <c r="E10" s="84">
        <v>226</v>
      </c>
      <c r="F10" s="85">
        <v>234</v>
      </c>
      <c r="G10" s="85">
        <v>244</v>
      </c>
      <c r="H10" s="85">
        <v>238</v>
      </c>
      <c r="I10" s="111" t="s">
        <v>93</v>
      </c>
      <c r="J10" s="112" t="s">
        <v>348</v>
      </c>
      <c r="K10" s="87" t="s">
        <v>157</v>
      </c>
      <c r="L10" s="88" t="s">
        <v>180</v>
      </c>
      <c r="M10" s="86"/>
      <c r="N10" s="89">
        <f>0.1+0.68+0.5+0.7</f>
        <v>1.98</v>
      </c>
      <c r="O10" s="90">
        <f t="shared" ref="O10:O17" si="0">N10*1000/H10</f>
        <v>8.3193277310924376</v>
      </c>
    </row>
    <row r="11" spans="1:91" ht="38.25" x14ac:dyDescent="0.2">
      <c r="A11" s="109">
        <v>8</v>
      </c>
      <c r="B11" s="107" t="s">
        <v>347</v>
      </c>
      <c r="C11" s="110" t="s">
        <v>81</v>
      </c>
      <c r="D11" s="110"/>
      <c r="E11" s="84">
        <v>226</v>
      </c>
      <c r="F11" s="85">
        <v>234</v>
      </c>
      <c r="G11" s="85">
        <v>244</v>
      </c>
      <c r="H11" s="85">
        <v>238</v>
      </c>
      <c r="I11" s="111" t="s">
        <v>153</v>
      </c>
      <c r="J11" s="112" t="s">
        <v>349</v>
      </c>
      <c r="K11" s="87" t="s">
        <v>157</v>
      </c>
      <c r="L11" s="88" t="s">
        <v>224</v>
      </c>
      <c r="M11" s="86"/>
      <c r="N11" s="89">
        <f>11.77+2.8+10.1</f>
        <v>24.67</v>
      </c>
      <c r="O11" s="90">
        <f t="shared" si="0"/>
        <v>103.65546218487395</v>
      </c>
    </row>
    <row r="12" spans="1:91" ht="25.5" x14ac:dyDescent="0.2">
      <c r="A12" s="109">
        <v>9</v>
      </c>
      <c r="B12" s="107" t="s">
        <v>78</v>
      </c>
      <c r="C12" s="110" t="s">
        <v>81</v>
      </c>
      <c r="D12" s="110" t="s">
        <v>80</v>
      </c>
      <c r="E12" s="84">
        <v>67</v>
      </c>
      <c r="F12" s="85">
        <v>61</v>
      </c>
      <c r="G12" s="85">
        <v>54</v>
      </c>
      <c r="H12" s="85">
        <v>96</v>
      </c>
      <c r="I12" s="111" t="s">
        <v>93</v>
      </c>
      <c r="J12" s="112" t="s">
        <v>351</v>
      </c>
      <c r="K12" s="87" t="s">
        <v>157</v>
      </c>
      <c r="L12" s="88" t="s">
        <v>158</v>
      </c>
      <c r="M12" s="86"/>
      <c r="N12" s="89">
        <v>0.45</v>
      </c>
      <c r="O12" s="90">
        <f t="shared" si="0"/>
        <v>4.6875</v>
      </c>
    </row>
    <row r="13" spans="1:91" ht="25.5" x14ac:dyDescent="0.2">
      <c r="A13" s="109">
        <v>10</v>
      </c>
      <c r="B13" s="107" t="s">
        <v>78</v>
      </c>
      <c r="C13" s="110" t="s">
        <v>81</v>
      </c>
      <c r="D13" s="110" t="s">
        <v>80</v>
      </c>
      <c r="E13" s="84">
        <v>67</v>
      </c>
      <c r="F13" s="85">
        <v>61</v>
      </c>
      <c r="G13" s="85">
        <v>54</v>
      </c>
      <c r="H13" s="85">
        <v>96</v>
      </c>
      <c r="I13" s="111" t="s">
        <v>153</v>
      </c>
      <c r="J13" s="112" t="s">
        <v>350</v>
      </c>
      <c r="K13" s="87" t="s">
        <v>157</v>
      </c>
      <c r="L13" s="88" t="s">
        <v>224</v>
      </c>
      <c r="M13" s="86"/>
      <c r="N13" s="89">
        <f>0.24+8+0.3</f>
        <v>8.5400000000000009</v>
      </c>
      <c r="O13" s="90">
        <f t="shared" si="0"/>
        <v>88.958333333333357</v>
      </c>
    </row>
    <row r="14" spans="1:91" ht="25.5" x14ac:dyDescent="0.2">
      <c r="A14" s="109">
        <v>11</v>
      </c>
      <c r="B14" s="107" t="s">
        <v>352</v>
      </c>
      <c r="C14" s="110" t="s">
        <v>81</v>
      </c>
      <c r="D14" s="110" t="s">
        <v>353</v>
      </c>
      <c r="E14" s="84">
        <v>156</v>
      </c>
      <c r="F14" s="85">
        <v>144</v>
      </c>
      <c r="G14" s="85">
        <v>128</v>
      </c>
      <c r="H14" s="85">
        <v>121</v>
      </c>
      <c r="I14" s="111" t="s">
        <v>93</v>
      </c>
      <c r="J14" s="112" t="s">
        <v>354</v>
      </c>
      <c r="K14" s="87" t="s">
        <v>157</v>
      </c>
      <c r="L14" s="88" t="s">
        <v>224</v>
      </c>
      <c r="M14" s="86"/>
      <c r="N14" s="89">
        <v>0.5</v>
      </c>
      <c r="O14" s="90">
        <f t="shared" si="0"/>
        <v>4.1322314049586772</v>
      </c>
    </row>
    <row r="15" spans="1:91" ht="25.5" x14ac:dyDescent="0.2">
      <c r="A15" s="109">
        <v>12</v>
      </c>
      <c r="B15" s="107" t="s">
        <v>352</v>
      </c>
      <c r="C15" s="110" t="s">
        <v>81</v>
      </c>
      <c r="D15" s="110" t="s">
        <v>353</v>
      </c>
      <c r="E15" s="84">
        <v>156</v>
      </c>
      <c r="F15" s="85">
        <v>144</v>
      </c>
      <c r="G15" s="85">
        <v>128</v>
      </c>
      <c r="H15" s="85">
        <v>121</v>
      </c>
      <c r="I15" s="111" t="s">
        <v>153</v>
      </c>
      <c r="J15" s="112" t="s">
        <v>355</v>
      </c>
      <c r="K15" s="87" t="s">
        <v>157</v>
      </c>
      <c r="L15" s="88" t="s">
        <v>224</v>
      </c>
      <c r="M15" s="86"/>
      <c r="N15" s="89">
        <f>1.4+10.126+3+5.5+2.4</f>
        <v>22.425999999999998</v>
      </c>
      <c r="O15" s="90">
        <f t="shared" si="0"/>
        <v>185.3388429752066</v>
      </c>
    </row>
    <row r="16" spans="1:91" ht="25.5" x14ac:dyDescent="0.2">
      <c r="A16" s="109">
        <v>13</v>
      </c>
      <c r="B16" s="107" t="s">
        <v>345</v>
      </c>
      <c r="C16" s="107" t="s">
        <v>346</v>
      </c>
      <c r="D16" s="110"/>
      <c r="E16" s="84">
        <v>159</v>
      </c>
      <c r="F16" s="85">
        <v>148</v>
      </c>
      <c r="G16" s="85">
        <v>135</v>
      </c>
      <c r="H16" s="85">
        <v>122</v>
      </c>
      <c r="I16" s="111" t="s">
        <v>93</v>
      </c>
      <c r="J16" s="112" t="s">
        <v>356</v>
      </c>
      <c r="K16" s="87" t="s">
        <v>157</v>
      </c>
      <c r="L16" s="88" t="s">
        <v>224</v>
      </c>
      <c r="M16" s="86"/>
      <c r="N16" s="89">
        <f>13.03+3+5+2</f>
        <v>23.03</v>
      </c>
      <c r="O16" s="90">
        <f t="shared" si="0"/>
        <v>188.7704918032787</v>
      </c>
    </row>
    <row r="17" spans="1:15" ht="30" customHeight="1" thickBot="1" x14ac:dyDescent="0.25">
      <c r="A17" s="69">
        <v>14</v>
      </c>
      <c r="B17" s="113" t="s">
        <v>345</v>
      </c>
      <c r="C17" s="114" t="s">
        <v>346</v>
      </c>
      <c r="D17" s="79"/>
      <c r="E17" s="80">
        <v>159</v>
      </c>
      <c r="F17" s="70">
        <v>148</v>
      </c>
      <c r="G17" s="70">
        <v>135</v>
      </c>
      <c r="H17" s="70">
        <v>122</v>
      </c>
      <c r="I17" s="115" t="s">
        <v>153</v>
      </c>
      <c r="J17" s="116" t="s">
        <v>357</v>
      </c>
      <c r="K17" s="75" t="s">
        <v>157</v>
      </c>
      <c r="L17" s="75" t="s">
        <v>224</v>
      </c>
      <c r="M17" s="71"/>
      <c r="N17" s="77">
        <f>22.83+3+5+2</f>
        <v>32.83</v>
      </c>
      <c r="O17" s="76">
        <f t="shared" si="0"/>
        <v>269.09836065573768</v>
      </c>
    </row>
  </sheetData>
  <autoFilter ref="A3:O17"/>
  <mergeCells count="2">
    <mergeCell ref="M1:N1"/>
    <mergeCell ref="E1:H1"/>
  </mergeCells>
  <phoneticPr fontId="2" type="noConversion"/>
  <conditionalFormatting sqref="A4:A8">
    <cfRule type="cellIs" dxfId="5" priority="1" stopIfTrue="1" operator="equal">
      <formula>A3</formula>
    </cfRule>
  </conditionalFormatting>
  <conditionalFormatting sqref="N4:N17">
    <cfRule type="cellIs" dxfId="4" priority="2" stopIfTrue="1" operator="equal">
      <formula>0</formula>
    </cfRule>
  </conditionalFormatting>
  <conditionalFormatting sqref="A3">
    <cfRule type="cellIs" dxfId="3" priority="3" stopIfTrue="1" operator="equal">
      <formula>#REF!</formula>
    </cfRule>
  </conditionalFormatting>
  <conditionalFormatting sqref="A17">
    <cfRule type="cellIs" dxfId="2" priority="5" stopIfTrue="1" operator="equal">
      <formula>A7</formula>
    </cfRule>
  </conditionalFormatting>
  <conditionalFormatting sqref="A9:A14">
    <cfRule type="cellIs" dxfId="1" priority="7" stopIfTrue="1" operator="equal">
      <formula>A7</formula>
    </cfRule>
  </conditionalFormatting>
  <conditionalFormatting sqref="A15:A16">
    <cfRule type="cellIs" dxfId="0" priority="9" stopIfTrue="1" operator="equal">
      <formula>A8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183"/>
  <sheetViews>
    <sheetView zoomScale="90" zoomScaleNormal="90" zoomScaleSheetLayoutView="100" workbookViewId="0">
      <selection activeCell="L49" sqref="L49"/>
    </sheetView>
  </sheetViews>
  <sheetFormatPr defaultRowHeight="12.75" x14ac:dyDescent="0.2"/>
  <cols>
    <col min="1" max="1" width="5.42578125" style="1" customWidth="1"/>
    <col min="2" max="2" width="13.42578125" style="1" customWidth="1"/>
    <col min="3" max="3" width="19" style="1" customWidth="1"/>
    <col min="4" max="4" width="12.28515625" style="1" customWidth="1"/>
    <col min="5" max="5" width="6.5703125" customWidth="1"/>
    <col min="6" max="6" width="6.42578125" customWidth="1"/>
    <col min="7" max="7" width="7.42578125" customWidth="1"/>
    <col min="8" max="8" width="6.7109375" customWidth="1"/>
    <col min="9" max="9" width="10" style="2" customWidth="1"/>
    <col min="10" max="10" width="50.85546875" style="1" customWidth="1"/>
    <col min="11" max="11" width="8.85546875" style="1" customWidth="1"/>
    <col min="12" max="12" width="10.85546875" style="1" customWidth="1"/>
    <col min="13" max="13" width="8.85546875" style="1" customWidth="1"/>
    <col min="14" max="14" width="11.28515625" style="6" customWidth="1"/>
    <col min="15" max="15" width="11.85546875" style="1" customWidth="1"/>
    <col min="16" max="16" width="5.85546875" style="1" customWidth="1"/>
    <col min="17" max="33" width="9.140625" style="1"/>
    <col min="34" max="34" width="10.140625" style="1" bestFit="1" customWidth="1"/>
    <col min="35" max="35" width="10.140625" style="1" customWidth="1"/>
    <col min="36" max="36" width="11.42578125" style="1" bestFit="1" customWidth="1"/>
    <col min="37" max="37" width="9.140625" style="1"/>
    <col min="38" max="38" width="12.28515625" style="1" bestFit="1" customWidth="1"/>
    <col min="39" max="16384" width="9.140625" style="1"/>
  </cols>
  <sheetData>
    <row r="1" spans="1:66" s="4" customFormat="1" ht="91.5" customHeight="1" thickTop="1" x14ac:dyDescent="0.2">
      <c r="A1" s="11" t="s">
        <v>948</v>
      </c>
      <c r="B1" s="12" t="s">
        <v>86</v>
      </c>
      <c r="C1" s="12" t="s">
        <v>87</v>
      </c>
      <c r="D1" s="12" t="s">
        <v>88</v>
      </c>
      <c r="E1" s="144" t="s">
        <v>152</v>
      </c>
      <c r="F1" s="145"/>
      <c r="G1" s="145"/>
      <c r="H1" s="146"/>
      <c r="I1" s="12" t="s">
        <v>89</v>
      </c>
      <c r="J1" s="12" t="s">
        <v>947</v>
      </c>
      <c r="K1" s="12" t="s">
        <v>159</v>
      </c>
      <c r="L1" s="12" t="s">
        <v>90</v>
      </c>
      <c r="M1" s="142" t="s">
        <v>203</v>
      </c>
      <c r="N1" s="143"/>
      <c r="O1" s="17" t="s">
        <v>107</v>
      </c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  <c r="AG1" s="9"/>
      <c r="AH1" s="9"/>
      <c r="AI1" s="9"/>
      <c r="AJ1" s="9"/>
      <c r="AK1" s="9"/>
      <c r="AL1" s="9"/>
    </row>
    <row r="2" spans="1:66" ht="27" customHeight="1" thickBot="1" x14ac:dyDescent="0.25">
      <c r="A2" s="13"/>
      <c r="B2" s="14"/>
      <c r="C2" s="14"/>
      <c r="D2" s="15" t="s">
        <v>195</v>
      </c>
      <c r="E2" s="15">
        <v>2002</v>
      </c>
      <c r="F2" s="15">
        <v>2005</v>
      </c>
      <c r="G2" s="15">
        <v>2010</v>
      </c>
      <c r="H2" s="15">
        <v>2015</v>
      </c>
      <c r="I2" s="15"/>
      <c r="J2" s="15"/>
      <c r="K2" s="15"/>
      <c r="L2" s="15"/>
      <c r="M2" s="18" t="s">
        <v>91</v>
      </c>
      <c r="N2" s="19" t="s">
        <v>92</v>
      </c>
      <c r="O2" s="16"/>
      <c r="P2" s="7"/>
    </row>
    <row r="3" spans="1:66" s="3" customFormat="1" ht="13.5" thickTop="1" x14ac:dyDescent="0.2">
      <c r="A3" s="65"/>
      <c r="B3" s="33"/>
      <c r="C3" s="33" t="s">
        <v>109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66"/>
      <c r="O3" s="33" t="s">
        <v>33</v>
      </c>
      <c r="P3" s="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s="3" customFormat="1" x14ac:dyDescent="0.2">
      <c r="A4" s="23">
        <v>1</v>
      </c>
      <c r="B4" s="128" t="s">
        <v>14</v>
      </c>
      <c r="C4" s="129" t="s">
        <v>226</v>
      </c>
      <c r="D4" s="129"/>
      <c r="E4" s="62">
        <v>158</v>
      </c>
      <c r="F4" s="61">
        <v>160</v>
      </c>
      <c r="G4" s="61">
        <v>164</v>
      </c>
      <c r="H4" s="61">
        <v>167</v>
      </c>
      <c r="I4" s="106" t="s">
        <v>93</v>
      </c>
      <c r="J4" s="131" t="s">
        <v>305</v>
      </c>
      <c r="K4" s="31" t="s">
        <v>157</v>
      </c>
      <c r="L4" s="31" t="s">
        <v>158</v>
      </c>
      <c r="M4" s="25"/>
      <c r="N4" s="29"/>
      <c r="O4" s="2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s="3" customFormat="1" ht="25.5" x14ac:dyDescent="0.2">
      <c r="A5" s="23">
        <f t="shared" ref="A5:A36" si="0">IF(B5="",A4,A4+1)</f>
        <v>2</v>
      </c>
      <c r="B5" s="103" t="s">
        <v>14</v>
      </c>
      <c r="C5" s="129" t="s">
        <v>226</v>
      </c>
      <c r="D5" s="130"/>
      <c r="E5" s="62">
        <v>158</v>
      </c>
      <c r="F5" s="61">
        <v>160</v>
      </c>
      <c r="G5" s="61">
        <v>164</v>
      </c>
      <c r="H5" s="61">
        <v>167</v>
      </c>
      <c r="I5" s="106" t="s">
        <v>153</v>
      </c>
      <c r="J5" s="105" t="s">
        <v>306</v>
      </c>
      <c r="K5" s="31" t="s">
        <v>157</v>
      </c>
      <c r="L5" s="30" t="s">
        <v>158</v>
      </c>
      <c r="M5" s="25"/>
      <c r="N5" s="29"/>
      <c r="O5" s="2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s="3" customFormat="1" ht="25.5" x14ac:dyDescent="0.2">
      <c r="A6" s="23">
        <f t="shared" si="0"/>
        <v>3</v>
      </c>
      <c r="B6" s="128" t="s">
        <v>15</v>
      </c>
      <c r="C6" s="129" t="s">
        <v>82</v>
      </c>
      <c r="D6" s="130"/>
      <c r="E6" s="62">
        <v>131</v>
      </c>
      <c r="F6" s="61">
        <v>134</v>
      </c>
      <c r="G6" s="61">
        <v>137</v>
      </c>
      <c r="H6" s="61">
        <v>179</v>
      </c>
      <c r="I6" s="106" t="s">
        <v>93</v>
      </c>
      <c r="J6" s="131" t="s">
        <v>312</v>
      </c>
      <c r="K6" s="31" t="s">
        <v>157</v>
      </c>
      <c r="L6" s="31" t="s">
        <v>224</v>
      </c>
      <c r="M6" s="25"/>
      <c r="N6" s="29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s="3" customFormat="1" ht="38.25" x14ac:dyDescent="0.2">
      <c r="A7" s="23">
        <f t="shared" si="0"/>
        <v>4</v>
      </c>
      <c r="B7" s="103" t="s">
        <v>15</v>
      </c>
      <c r="C7" s="104" t="s">
        <v>82</v>
      </c>
      <c r="D7" s="43"/>
      <c r="E7" s="62">
        <v>131</v>
      </c>
      <c r="F7" s="61">
        <v>134</v>
      </c>
      <c r="G7" s="61">
        <v>137</v>
      </c>
      <c r="H7" s="61">
        <v>179</v>
      </c>
      <c r="I7" s="106" t="s">
        <v>153</v>
      </c>
      <c r="J7" s="105" t="s">
        <v>311</v>
      </c>
      <c r="K7" s="31" t="s">
        <v>157</v>
      </c>
      <c r="L7" s="30" t="s">
        <v>158</v>
      </c>
      <c r="M7" s="25"/>
      <c r="N7" s="29">
        <v>27.7</v>
      </c>
      <c r="O7" s="25">
        <f>N7*1000/H7</f>
        <v>154.7486033519553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s="3" customFormat="1" ht="25.5" x14ac:dyDescent="0.2">
      <c r="A8" s="23">
        <f t="shared" si="0"/>
        <v>5</v>
      </c>
      <c r="B8" s="128" t="s">
        <v>16</v>
      </c>
      <c r="C8" s="129" t="s">
        <v>82</v>
      </c>
      <c r="D8" s="129" t="s">
        <v>83</v>
      </c>
      <c r="E8" s="62">
        <v>40</v>
      </c>
      <c r="F8" s="61">
        <v>41</v>
      </c>
      <c r="G8" s="61">
        <v>43</v>
      </c>
      <c r="H8" s="61">
        <v>55</v>
      </c>
      <c r="I8" s="106" t="s">
        <v>93</v>
      </c>
      <c r="J8" s="131" t="s">
        <v>310</v>
      </c>
      <c r="K8" s="31" t="s">
        <v>157</v>
      </c>
      <c r="L8" s="31" t="s">
        <v>158</v>
      </c>
      <c r="M8" s="25"/>
      <c r="N8" s="29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3" customFormat="1" ht="25.5" x14ac:dyDescent="0.2">
      <c r="A9" s="23">
        <f t="shared" si="0"/>
        <v>6</v>
      </c>
      <c r="B9" s="103" t="s">
        <v>16</v>
      </c>
      <c r="C9" s="104" t="s">
        <v>82</v>
      </c>
      <c r="D9" s="104" t="s">
        <v>83</v>
      </c>
      <c r="E9" s="62">
        <v>40</v>
      </c>
      <c r="F9" s="61">
        <v>41</v>
      </c>
      <c r="G9" s="61">
        <v>43</v>
      </c>
      <c r="H9" s="61">
        <v>55</v>
      </c>
      <c r="I9" s="106" t="s">
        <v>153</v>
      </c>
      <c r="J9" s="105" t="s">
        <v>313</v>
      </c>
      <c r="K9" s="31" t="s">
        <v>157</v>
      </c>
      <c r="L9" s="30" t="s">
        <v>224</v>
      </c>
      <c r="M9" s="25"/>
      <c r="N9" s="29">
        <v>17.5</v>
      </c>
      <c r="O9" s="29">
        <f>N9*1000/H9</f>
        <v>318.18181818181819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s="3" customFormat="1" ht="38.25" x14ac:dyDescent="0.2">
      <c r="A10" s="23">
        <f t="shared" si="0"/>
        <v>7</v>
      </c>
      <c r="B10" s="128" t="s">
        <v>308</v>
      </c>
      <c r="C10" s="129" t="s">
        <v>82</v>
      </c>
      <c r="D10" s="129" t="s">
        <v>307</v>
      </c>
      <c r="E10" s="62">
        <v>30</v>
      </c>
      <c r="F10" s="61">
        <v>31</v>
      </c>
      <c r="G10" s="61">
        <v>33</v>
      </c>
      <c r="H10" s="61">
        <v>33</v>
      </c>
      <c r="I10" s="106" t="s">
        <v>93</v>
      </c>
      <c r="J10" s="131" t="s">
        <v>309</v>
      </c>
      <c r="K10" s="31" t="s">
        <v>157</v>
      </c>
      <c r="L10" s="31" t="s">
        <v>158</v>
      </c>
      <c r="M10" s="25"/>
      <c r="N10" s="29"/>
      <c r="O10" s="2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s="3" customFormat="1" ht="38.25" x14ac:dyDescent="0.2">
      <c r="A11" s="23">
        <f t="shared" si="0"/>
        <v>8</v>
      </c>
      <c r="B11" s="128" t="s">
        <v>196</v>
      </c>
      <c r="C11" s="129" t="s">
        <v>197</v>
      </c>
      <c r="D11" s="130"/>
      <c r="E11" s="62"/>
      <c r="F11" s="61"/>
      <c r="G11" s="61"/>
      <c r="H11" s="61"/>
      <c r="I11" s="106" t="s">
        <v>93</v>
      </c>
      <c r="J11" s="131" t="s">
        <v>318</v>
      </c>
      <c r="K11" s="31" t="s">
        <v>157</v>
      </c>
      <c r="L11" s="31" t="s">
        <v>158</v>
      </c>
      <c r="M11" s="25"/>
      <c r="N11" s="29"/>
      <c r="O11" s="2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3" customFormat="1" ht="40.5" customHeight="1" x14ac:dyDescent="0.2">
      <c r="A12" s="23">
        <f t="shared" si="0"/>
        <v>9</v>
      </c>
      <c r="B12" s="128" t="s">
        <v>196</v>
      </c>
      <c r="C12" s="129" t="s">
        <v>197</v>
      </c>
      <c r="D12" s="130"/>
      <c r="E12" s="62"/>
      <c r="F12" s="61"/>
      <c r="G12" s="61"/>
      <c r="H12" s="61"/>
      <c r="I12" s="106" t="s">
        <v>153</v>
      </c>
      <c r="J12" s="131" t="s">
        <v>317</v>
      </c>
      <c r="K12" s="31" t="s">
        <v>157</v>
      </c>
      <c r="L12" s="31" t="s">
        <v>158</v>
      </c>
      <c r="M12" s="25"/>
      <c r="N12" s="29"/>
      <c r="O12" s="13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3" customFormat="1" ht="25.5" x14ac:dyDescent="0.2">
      <c r="A13" s="23">
        <f t="shared" si="0"/>
        <v>10</v>
      </c>
      <c r="B13" s="128" t="s">
        <v>110</v>
      </c>
      <c r="C13" s="129" t="s">
        <v>197</v>
      </c>
      <c r="D13" s="129" t="s">
        <v>111</v>
      </c>
      <c r="E13" s="62"/>
      <c r="F13" s="61"/>
      <c r="G13" s="61"/>
      <c r="H13" s="61"/>
      <c r="I13" s="106" t="s">
        <v>93</v>
      </c>
      <c r="J13" s="133" t="s">
        <v>316</v>
      </c>
      <c r="K13" s="31" t="s">
        <v>156</v>
      </c>
      <c r="L13" s="31"/>
      <c r="M13" s="25"/>
      <c r="N13" s="29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s="3" customFormat="1" ht="25.5" x14ac:dyDescent="0.2">
      <c r="A14" s="23">
        <f t="shared" si="0"/>
        <v>11</v>
      </c>
      <c r="B14" s="128" t="s">
        <v>110</v>
      </c>
      <c r="C14" s="129" t="s">
        <v>197</v>
      </c>
      <c r="D14" s="129" t="s">
        <v>111</v>
      </c>
      <c r="E14" s="62"/>
      <c r="F14" s="61"/>
      <c r="G14" s="61"/>
      <c r="H14" s="61"/>
      <c r="I14" s="106" t="s">
        <v>153</v>
      </c>
      <c r="J14" s="133" t="s">
        <v>315</v>
      </c>
      <c r="K14" s="31" t="s">
        <v>156</v>
      </c>
      <c r="L14" s="31"/>
      <c r="M14" s="25"/>
      <c r="N14" s="29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s="3" customFormat="1" ht="38.25" x14ac:dyDescent="0.2">
      <c r="A15" s="23">
        <f t="shared" si="0"/>
        <v>12</v>
      </c>
      <c r="B15" s="128" t="s">
        <v>112</v>
      </c>
      <c r="C15" s="129" t="s">
        <v>197</v>
      </c>
      <c r="D15" s="129" t="s">
        <v>113</v>
      </c>
      <c r="E15" s="62"/>
      <c r="F15" s="61"/>
      <c r="G15" s="61"/>
      <c r="H15" s="61"/>
      <c r="I15" s="106" t="s">
        <v>153</v>
      </c>
      <c r="J15" s="131" t="s">
        <v>314</v>
      </c>
      <c r="K15" s="31" t="s">
        <v>157</v>
      </c>
      <c r="L15" s="31" t="s">
        <v>158</v>
      </c>
      <c r="M15" s="25"/>
      <c r="N15" s="29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3" customFormat="1" ht="25.5" x14ac:dyDescent="0.2">
      <c r="A16" s="23">
        <f t="shared" si="0"/>
        <v>13</v>
      </c>
      <c r="B16" s="103" t="s">
        <v>114</v>
      </c>
      <c r="C16" s="104" t="s">
        <v>197</v>
      </c>
      <c r="D16" s="104" t="s">
        <v>115</v>
      </c>
      <c r="E16" s="62"/>
      <c r="F16" s="61"/>
      <c r="G16" s="61"/>
      <c r="H16" s="61"/>
      <c r="I16" s="106" t="s">
        <v>93</v>
      </c>
      <c r="J16" s="44" t="s">
        <v>316</v>
      </c>
      <c r="K16" s="31" t="s">
        <v>156</v>
      </c>
      <c r="L16" s="30"/>
      <c r="M16" s="25"/>
      <c r="N16" s="29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220" s="3" customFormat="1" ht="25.5" x14ac:dyDescent="0.2">
      <c r="A17" s="23">
        <f t="shared" si="0"/>
        <v>14</v>
      </c>
      <c r="B17" s="128" t="s">
        <v>114</v>
      </c>
      <c r="C17" s="129" t="s">
        <v>197</v>
      </c>
      <c r="D17" s="129" t="s">
        <v>115</v>
      </c>
      <c r="E17" s="62"/>
      <c r="F17" s="61"/>
      <c r="G17" s="61"/>
      <c r="H17" s="61"/>
      <c r="I17" s="106" t="s">
        <v>153</v>
      </c>
      <c r="J17" s="133" t="s">
        <v>315</v>
      </c>
      <c r="K17" s="31" t="s">
        <v>156</v>
      </c>
      <c r="L17" s="31"/>
      <c r="M17" s="25"/>
      <c r="N17" s="29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220" s="3" customFormat="1" ht="25.5" x14ac:dyDescent="0.2">
      <c r="A18" s="23">
        <f t="shared" si="0"/>
        <v>15</v>
      </c>
      <c r="B18" s="103" t="s">
        <v>116</v>
      </c>
      <c r="C18" s="104" t="s">
        <v>197</v>
      </c>
      <c r="D18" s="104" t="s">
        <v>117</v>
      </c>
      <c r="E18" s="62"/>
      <c r="F18" s="61"/>
      <c r="G18" s="61"/>
      <c r="H18" s="61"/>
      <c r="I18" s="106" t="s">
        <v>93</v>
      </c>
      <c r="J18" s="44" t="s">
        <v>316</v>
      </c>
      <c r="K18" s="31" t="s">
        <v>156</v>
      </c>
      <c r="L18" s="30"/>
      <c r="M18" s="25"/>
      <c r="N18" s="29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220" s="3" customFormat="1" ht="25.5" x14ac:dyDescent="0.2">
      <c r="A19" s="23">
        <f t="shared" si="0"/>
        <v>16</v>
      </c>
      <c r="B19" s="128" t="s">
        <v>116</v>
      </c>
      <c r="C19" s="129" t="s">
        <v>197</v>
      </c>
      <c r="D19" s="129" t="s">
        <v>117</v>
      </c>
      <c r="E19" s="62"/>
      <c r="F19" s="61"/>
      <c r="G19" s="61"/>
      <c r="H19" s="61"/>
      <c r="I19" s="106" t="s">
        <v>153</v>
      </c>
      <c r="J19" s="133" t="s">
        <v>315</v>
      </c>
      <c r="K19" s="31" t="s">
        <v>156</v>
      </c>
      <c r="L19" s="31"/>
      <c r="M19" s="25"/>
      <c r="N19" s="29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220" s="3" customFormat="1" ht="25.5" x14ac:dyDescent="0.2">
      <c r="A20" s="23">
        <f t="shared" si="0"/>
        <v>17</v>
      </c>
      <c r="B20" s="128" t="s">
        <v>118</v>
      </c>
      <c r="C20" s="129" t="s">
        <v>197</v>
      </c>
      <c r="D20" s="129" t="s">
        <v>119</v>
      </c>
      <c r="E20" s="62"/>
      <c r="F20" s="61"/>
      <c r="G20" s="61"/>
      <c r="H20" s="61"/>
      <c r="I20" s="106" t="s">
        <v>93</v>
      </c>
      <c r="J20" s="133" t="s">
        <v>316</v>
      </c>
      <c r="K20" s="31" t="s">
        <v>156</v>
      </c>
      <c r="L20" s="31"/>
      <c r="M20" s="25"/>
      <c r="N20" s="29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220" s="3" customFormat="1" ht="25.5" x14ac:dyDescent="0.2">
      <c r="A21" s="23">
        <f t="shared" si="0"/>
        <v>18</v>
      </c>
      <c r="B21" s="128" t="s">
        <v>118</v>
      </c>
      <c r="C21" s="129" t="s">
        <v>197</v>
      </c>
      <c r="D21" s="129" t="s">
        <v>119</v>
      </c>
      <c r="E21" s="62"/>
      <c r="F21" s="61"/>
      <c r="G21" s="61"/>
      <c r="H21" s="61"/>
      <c r="I21" s="106" t="s">
        <v>153</v>
      </c>
      <c r="J21" s="133" t="s">
        <v>315</v>
      </c>
      <c r="K21" s="31" t="s">
        <v>156</v>
      </c>
      <c r="L21" s="31"/>
      <c r="M21" s="45"/>
      <c r="N21" s="29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220" s="3" customFormat="1" ht="25.5" x14ac:dyDescent="0.2">
      <c r="A22" s="23">
        <f t="shared" si="0"/>
        <v>19</v>
      </c>
      <c r="B22" s="103" t="s">
        <v>120</v>
      </c>
      <c r="C22" s="104" t="s">
        <v>197</v>
      </c>
      <c r="D22" s="104" t="s">
        <v>121</v>
      </c>
      <c r="E22" s="62">
        <v>11649</v>
      </c>
      <c r="F22" s="61">
        <v>11335</v>
      </c>
      <c r="G22" s="61">
        <v>10941</v>
      </c>
      <c r="H22" s="61">
        <v>10548</v>
      </c>
      <c r="I22" s="106" t="s">
        <v>93</v>
      </c>
      <c r="J22" s="105" t="s">
        <v>316</v>
      </c>
      <c r="K22" s="31" t="s">
        <v>156</v>
      </c>
      <c r="L22" s="30"/>
      <c r="M22" s="25"/>
      <c r="N22" s="2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220" s="3" customFormat="1" ht="25.5" x14ac:dyDescent="0.2">
      <c r="A23" s="23">
        <f t="shared" si="0"/>
        <v>20</v>
      </c>
      <c r="B23" s="128" t="s">
        <v>120</v>
      </c>
      <c r="C23" s="129" t="s">
        <v>197</v>
      </c>
      <c r="D23" s="129" t="s">
        <v>121</v>
      </c>
      <c r="E23" s="62">
        <v>11649</v>
      </c>
      <c r="F23" s="61">
        <v>11335</v>
      </c>
      <c r="G23" s="61">
        <v>10941</v>
      </c>
      <c r="H23" s="61">
        <v>10548</v>
      </c>
      <c r="I23" s="106" t="s">
        <v>153</v>
      </c>
      <c r="J23" s="131" t="s">
        <v>315</v>
      </c>
      <c r="K23" s="31" t="s">
        <v>156</v>
      </c>
      <c r="L23" s="31"/>
      <c r="M23" s="25"/>
      <c r="N23" s="29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220" s="3" customFormat="1" ht="38.25" x14ac:dyDescent="0.2">
      <c r="A24" s="23">
        <f t="shared" si="0"/>
        <v>21</v>
      </c>
      <c r="B24" s="103" t="s">
        <v>17</v>
      </c>
      <c r="C24" s="104" t="s">
        <v>207</v>
      </c>
      <c r="D24" s="43"/>
      <c r="E24" s="62">
        <v>129</v>
      </c>
      <c r="F24" s="61">
        <v>124</v>
      </c>
      <c r="G24" s="61">
        <v>118</v>
      </c>
      <c r="H24" s="61">
        <v>112</v>
      </c>
      <c r="I24" s="106" t="s">
        <v>153</v>
      </c>
      <c r="J24" s="105" t="s">
        <v>319</v>
      </c>
      <c r="K24" s="31" t="s">
        <v>157</v>
      </c>
      <c r="L24" s="30" t="s">
        <v>158</v>
      </c>
      <c r="M24" s="25"/>
      <c r="N24" s="29">
        <v>9.5169999999999995</v>
      </c>
      <c r="O24" s="25">
        <f t="shared" ref="O24:O30" si="1">N24*1000/H24</f>
        <v>84.973214285714292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220" s="3" customFormat="1" x14ac:dyDescent="0.2">
      <c r="A25" s="23">
        <f t="shared" si="0"/>
        <v>22</v>
      </c>
      <c r="B25" s="128" t="s">
        <v>18</v>
      </c>
      <c r="C25" s="129" t="s">
        <v>207</v>
      </c>
      <c r="D25" s="129" t="s">
        <v>206</v>
      </c>
      <c r="E25" s="62">
        <v>225</v>
      </c>
      <c r="F25" s="61">
        <v>230</v>
      </c>
      <c r="G25" s="61">
        <v>236</v>
      </c>
      <c r="H25" s="61">
        <v>243</v>
      </c>
      <c r="I25" s="106" t="s">
        <v>93</v>
      </c>
      <c r="J25" s="131" t="s">
        <v>300</v>
      </c>
      <c r="K25" s="31" t="s">
        <v>157</v>
      </c>
      <c r="L25" s="31" t="s">
        <v>180</v>
      </c>
      <c r="M25" s="25"/>
      <c r="N25" s="29">
        <v>3.52</v>
      </c>
      <c r="O25" s="25">
        <f t="shared" si="1"/>
        <v>14.48559670781893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220" s="3" customFormat="1" ht="38.25" x14ac:dyDescent="0.2">
      <c r="A26" s="23">
        <f t="shared" si="0"/>
        <v>23</v>
      </c>
      <c r="B26" s="128" t="s">
        <v>18</v>
      </c>
      <c r="C26" s="129" t="s">
        <v>207</v>
      </c>
      <c r="D26" s="129" t="s">
        <v>206</v>
      </c>
      <c r="E26" s="62">
        <v>225</v>
      </c>
      <c r="F26" s="61">
        <v>230</v>
      </c>
      <c r="G26" s="61">
        <v>236</v>
      </c>
      <c r="H26" s="61">
        <v>243</v>
      </c>
      <c r="I26" s="106" t="s">
        <v>153</v>
      </c>
      <c r="J26" s="131" t="s">
        <v>320</v>
      </c>
      <c r="K26" s="31" t="s">
        <v>157</v>
      </c>
      <c r="L26" s="31" t="s">
        <v>158</v>
      </c>
      <c r="M26" s="25"/>
      <c r="N26" s="29">
        <v>10.829000000000001</v>
      </c>
      <c r="O26" s="25">
        <f t="shared" si="1"/>
        <v>44.563786008230451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220" s="3" customFormat="1" x14ac:dyDescent="0.2">
      <c r="A27" s="23">
        <f t="shared" si="0"/>
        <v>24</v>
      </c>
      <c r="B27" s="128" t="s">
        <v>19</v>
      </c>
      <c r="C27" s="129" t="s">
        <v>154</v>
      </c>
      <c r="D27" s="130"/>
      <c r="E27" s="62">
        <v>271</v>
      </c>
      <c r="F27" s="61">
        <v>250</v>
      </c>
      <c r="G27" s="61">
        <v>224</v>
      </c>
      <c r="H27" s="61">
        <v>199</v>
      </c>
      <c r="I27" s="106" t="s">
        <v>153</v>
      </c>
      <c r="J27" s="131" t="s">
        <v>322</v>
      </c>
      <c r="K27" s="31" t="s">
        <v>157</v>
      </c>
      <c r="L27" s="31" t="s">
        <v>180</v>
      </c>
      <c r="M27" s="25"/>
      <c r="N27" s="29">
        <v>40</v>
      </c>
      <c r="O27" s="25">
        <f t="shared" si="1"/>
        <v>201.00502512562815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220" s="3" customFormat="1" ht="38.25" x14ac:dyDescent="0.2">
      <c r="A28" s="23">
        <f t="shared" si="0"/>
        <v>25</v>
      </c>
      <c r="B28" s="103" t="s">
        <v>20</v>
      </c>
      <c r="C28" s="104" t="s">
        <v>154</v>
      </c>
      <c r="D28" s="104" t="s">
        <v>208</v>
      </c>
      <c r="E28" s="62">
        <v>150</v>
      </c>
      <c r="F28" s="61">
        <v>154</v>
      </c>
      <c r="G28" s="61">
        <v>159</v>
      </c>
      <c r="H28" s="61">
        <v>229</v>
      </c>
      <c r="I28" s="106" t="s">
        <v>153</v>
      </c>
      <c r="J28" s="105" t="s">
        <v>323</v>
      </c>
      <c r="K28" s="31" t="s">
        <v>157</v>
      </c>
      <c r="L28" s="30" t="s">
        <v>158</v>
      </c>
      <c r="M28" s="25"/>
      <c r="N28" s="29">
        <v>30</v>
      </c>
      <c r="O28" s="25">
        <f t="shared" si="1"/>
        <v>131.00436681222706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220" s="3" customFormat="1" x14ac:dyDescent="0.2">
      <c r="A29" s="23">
        <f t="shared" si="0"/>
        <v>26</v>
      </c>
      <c r="B29" s="128" t="s">
        <v>198</v>
      </c>
      <c r="C29" s="129" t="s">
        <v>154</v>
      </c>
      <c r="D29" s="129" t="s">
        <v>321</v>
      </c>
      <c r="E29" s="62">
        <v>406</v>
      </c>
      <c r="F29" s="61">
        <v>486</v>
      </c>
      <c r="G29" s="61">
        <v>586</v>
      </c>
      <c r="H29" s="61">
        <v>764</v>
      </c>
      <c r="I29" s="106" t="s">
        <v>153</v>
      </c>
      <c r="J29" s="131" t="s">
        <v>324</v>
      </c>
      <c r="K29" s="31" t="s">
        <v>156</v>
      </c>
      <c r="L29" s="31"/>
      <c r="M29" s="25"/>
      <c r="N29" s="29">
        <v>31</v>
      </c>
      <c r="O29" s="25">
        <f t="shared" si="1"/>
        <v>40.575916230366495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220" s="3" customFormat="1" ht="39" customHeight="1" x14ac:dyDescent="0.2">
      <c r="A30" s="23">
        <f t="shared" si="0"/>
        <v>27</v>
      </c>
      <c r="B30" s="128" t="s">
        <v>325</v>
      </c>
      <c r="C30" s="129" t="s">
        <v>327</v>
      </c>
      <c r="D30" s="130"/>
      <c r="E30" s="62">
        <v>178</v>
      </c>
      <c r="F30" s="61">
        <v>178</v>
      </c>
      <c r="G30" s="61">
        <v>179</v>
      </c>
      <c r="H30" s="61">
        <v>203</v>
      </c>
      <c r="I30" s="106" t="s">
        <v>93</v>
      </c>
      <c r="J30" s="131" t="s">
        <v>331</v>
      </c>
      <c r="K30" s="31" t="s">
        <v>157</v>
      </c>
      <c r="L30" s="31" t="s">
        <v>158</v>
      </c>
      <c r="M30" s="25"/>
      <c r="N30" s="29">
        <v>0.88400000000000001</v>
      </c>
      <c r="O30" s="25">
        <f t="shared" si="1"/>
        <v>4.3546798029556646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5"/>
      <c r="AN30" s="5"/>
      <c r="AO30" s="5"/>
      <c r="AP30" s="5"/>
      <c r="AQ30" s="5"/>
      <c r="AR30" s="5"/>
      <c r="AS30" s="5"/>
      <c r="AT30" s="2"/>
      <c r="AU30" s="2"/>
      <c r="AV30" s="1"/>
      <c r="AW30" s="6"/>
      <c r="AX30" s="6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2"/>
      <c r="BK30" s="2"/>
      <c r="BL30" s="1"/>
      <c r="BM30" s="6"/>
      <c r="BN30" s="6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2"/>
      <c r="CA30" s="2"/>
      <c r="CB30" s="1"/>
      <c r="CC30" s="6"/>
      <c r="CD30" s="6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2"/>
      <c r="CQ30" s="2"/>
      <c r="CR30" s="1"/>
      <c r="CS30" s="6"/>
      <c r="CT30" s="6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2"/>
      <c r="DG30" s="2"/>
      <c r="DH30" s="1"/>
      <c r="DI30" s="6"/>
      <c r="DJ30" s="6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2"/>
      <c r="DW30" s="2"/>
      <c r="DX30" s="1"/>
      <c r="DY30" s="6"/>
      <c r="DZ30" s="6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2"/>
      <c r="EM30" s="2"/>
      <c r="EN30" s="1"/>
      <c r="EO30" s="6"/>
      <c r="EP30" s="6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2"/>
      <c r="FC30" s="2"/>
      <c r="FD30" s="1"/>
      <c r="FE30" s="6"/>
      <c r="FF30" s="6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2"/>
      <c r="FS30" s="2"/>
      <c r="FT30" s="1"/>
      <c r="FU30" s="6"/>
      <c r="FV30" s="6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2"/>
      <c r="GI30" s="2"/>
      <c r="GJ30" s="1"/>
      <c r="GK30" s="6"/>
      <c r="GL30" s="6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2"/>
      <c r="GY30" s="2"/>
      <c r="GZ30" s="1"/>
      <c r="HA30" s="6"/>
      <c r="HB30" s="6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s="3" customFormat="1" ht="25.5" x14ac:dyDescent="0.2">
      <c r="A31" s="23">
        <f t="shared" si="0"/>
        <v>28</v>
      </c>
      <c r="B31" s="128" t="s">
        <v>325</v>
      </c>
      <c r="C31" s="129" t="s">
        <v>327</v>
      </c>
      <c r="D31" s="130"/>
      <c r="E31" s="62">
        <v>178</v>
      </c>
      <c r="F31" s="61">
        <v>178</v>
      </c>
      <c r="G31" s="61">
        <v>179</v>
      </c>
      <c r="H31" s="61">
        <v>203</v>
      </c>
      <c r="I31" s="106" t="s">
        <v>153</v>
      </c>
      <c r="J31" s="131" t="s">
        <v>332</v>
      </c>
      <c r="K31" s="31" t="s">
        <v>157</v>
      </c>
      <c r="L31" s="31" t="s">
        <v>224</v>
      </c>
      <c r="M31" s="25"/>
      <c r="N31" s="29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220" s="3" customFormat="1" ht="41.25" customHeight="1" x14ac:dyDescent="0.2">
      <c r="A32" s="23">
        <f t="shared" si="0"/>
        <v>29</v>
      </c>
      <c r="B32" s="128" t="s">
        <v>326</v>
      </c>
      <c r="C32" s="129" t="s">
        <v>327</v>
      </c>
      <c r="D32" s="129" t="s">
        <v>328</v>
      </c>
      <c r="E32" s="62"/>
      <c r="F32" s="61"/>
      <c r="G32" s="61"/>
      <c r="H32" s="61"/>
      <c r="I32" s="106" t="s">
        <v>93</v>
      </c>
      <c r="J32" s="133" t="s">
        <v>331</v>
      </c>
      <c r="K32" s="31" t="s">
        <v>157</v>
      </c>
      <c r="L32" s="31" t="s">
        <v>158</v>
      </c>
      <c r="M32" s="25"/>
      <c r="N32" s="29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s="3" customFormat="1" ht="25.5" x14ac:dyDescent="0.2">
      <c r="A33" s="23">
        <f t="shared" si="0"/>
        <v>30</v>
      </c>
      <c r="B33" s="103" t="s">
        <v>326</v>
      </c>
      <c r="C33" s="104" t="s">
        <v>327</v>
      </c>
      <c r="D33" s="104" t="s">
        <v>328</v>
      </c>
      <c r="E33" s="62"/>
      <c r="F33" s="61"/>
      <c r="G33" s="61"/>
      <c r="H33" s="61"/>
      <c r="I33" s="106" t="s">
        <v>153</v>
      </c>
      <c r="J33" s="105" t="s">
        <v>333</v>
      </c>
      <c r="K33" s="31" t="s">
        <v>157</v>
      </c>
      <c r="L33" s="30" t="s">
        <v>224</v>
      </c>
      <c r="M33" s="25"/>
      <c r="N33" s="29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s="3" customFormat="1" ht="40.5" customHeight="1" x14ac:dyDescent="0.2">
      <c r="A34" s="23">
        <f t="shared" si="0"/>
        <v>31</v>
      </c>
      <c r="B34" s="128" t="s">
        <v>329</v>
      </c>
      <c r="C34" s="129" t="s">
        <v>327</v>
      </c>
      <c r="D34" s="129" t="s">
        <v>330</v>
      </c>
      <c r="E34" s="62"/>
      <c r="F34" s="61"/>
      <c r="G34" s="61"/>
      <c r="H34" s="61"/>
      <c r="I34" s="106" t="s">
        <v>93</v>
      </c>
      <c r="J34" s="133" t="s">
        <v>331</v>
      </c>
      <c r="K34" s="31" t="s">
        <v>157</v>
      </c>
      <c r="L34" s="31" t="s">
        <v>158</v>
      </c>
      <c r="M34" s="25"/>
      <c r="N34" s="29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s="3" customFormat="1" ht="25.5" x14ac:dyDescent="0.2">
      <c r="A35" s="23">
        <f t="shared" si="0"/>
        <v>32</v>
      </c>
      <c r="B35" s="128" t="s">
        <v>329</v>
      </c>
      <c r="C35" s="129" t="s">
        <v>327</v>
      </c>
      <c r="D35" s="129" t="s">
        <v>330</v>
      </c>
      <c r="E35" s="62"/>
      <c r="F35" s="61"/>
      <c r="G35" s="61"/>
      <c r="H35" s="61"/>
      <c r="I35" s="106" t="s">
        <v>153</v>
      </c>
      <c r="J35" s="133" t="s">
        <v>334</v>
      </c>
      <c r="K35" s="31" t="s">
        <v>157</v>
      </c>
      <c r="L35" s="31" t="s">
        <v>180</v>
      </c>
      <c r="M35" s="25"/>
      <c r="N35" s="2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s="3" customFormat="1" ht="25.5" x14ac:dyDescent="0.2">
      <c r="A36" s="23">
        <f t="shared" si="0"/>
        <v>33</v>
      </c>
      <c r="B36" s="103" t="s">
        <v>84</v>
      </c>
      <c r="C36" s="104" t="s">
        <v>205</v>
      </c>
      <c r="D36" s="104"/>
      <c r="E36" s="62">
        <v>390</v>
      </c>
      <c r="F36" s="61">
        <v>403</v>
      </c>
      <c r="G36" s="61">
        <v>420</v>
      </c>
      <c r="H36" s="61">
        <v>437</v>
      </c>
      <c r="I36" s="27" t="s">
        <v>153</v>
      </c>
      <c r="J36" s="105" t="s">
        <v>268</v>
      </c>
      <c r="K36" s="31" t="s">
        <v>157</v>
      </c>
      <c r="L36" s="30" t="s">
        <v>224</v>
      </c>
      <c r="M36" s="25"/>
      <c r="N36" s="29">
        <f>11.976+19+10</f>
        <v>40.975999999999999</v>
      </c>
      <c r="O36" s="25">
        <f>N36*1000/H36</f>
        <v>93.766590389016017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s="3" customFormat="1" ht="25.5" x14ac:dyDescent="0.2">
      <c r="A37" s="23">
        <f t="shared" ref="A37:A68" si="2">IF(B37="",A36,A36+1)</f>
        <v>34</v>
      </c>
      <c r="B37" s="103" t="s">
        <v>212</v>
      </c>
      <c r="C37" s="104" t="s">
        <v>205</v>
      </c>
      <c r="D37" s="104" t="s">
        <v>213</v>
      </c>
      <c r="E37" s="62">
        <v>147</v>
      </c>
      <c r="F37" s="61">
        <v>160</v>
      </c>
      <c r="G37" s="61">
        <v>177</v>
      </c>
      <c r="H37" s="61">
        <v>147</v>
      </c>
      <c r="I37" s="27" t="s">
        <v>153</v>
      </c>
      <c r="J37" s="105" t="s">
        <v>269</v>
      </c>
      <c r="K37" s="31" t="s">
        <v>157</v>
      </c>
      <c r="L37" s="30" t="s">
        <v>158</v>
      </c>
      <c r="M37" s="25"/>
      <c r="N37" s="29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s="3" customFormat="1" ht="25.5" x14ac:dyDescent="0.2">
      <c r="A38" s="23">
        <f t="shared" si="2"/>
        <v>35</v>
      </c>
      <c r="B38" s="128" t="s">
        <v>221</v>
      </c>
      <c r="C38" s="129" t="s">
        <v>222</v>
      </c>
      <c r="D38" s="130"/>
      <c r="E38" s="62"/>
      <c r="F38" s="61"/>
      <c r="G38" s="61"/>
      <c r="H38" s="61"/>
      <c r="I38" s="27" t="s">
        <v>93</v>
      </c>
      <c r="J38" s="131" t="s">
        <v>272</v>
      </c>
      <c r="K38" s="30" t="s">
        <v>157</v>
      </c>
      <c r="L38" s="30" t="s">
        <v>158</v>
      </c>
      <c r="M38" s="25"/>
      <c r="N38" s="29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s="3" customFormat="1" ht="38.25" x14ac:dyDescent="0.2">
      <c r="A39" s="23">
        <f t="shared" si="2"/>
        <v>36</v>
      </c>
      <c r="B39" s="103" t="s">
        <v>221</v>
      </c>
      <c r="C39" s="104" t="s">
        <v>222</v>
      </c>
      <c r="D39" s="43"/>
      <c r="E39" s="62"/>
      <c r="F39" s="61"/>
      <c r="G39" s="61"/>
      <c r="H39" s="61"/>
      <c r="I39" s="27" t="s">
        <v>153</v>
      </c>
      <c r="J39" s="105" t="s">
        <v>273</v>
      </c>
      <c r="K39" s="31" t="s">
        <v>157</v>
      </c>
      <c r="L39" s="30" t="s">
        <v>158</v>
      </c>
      <c r="M39" s="25"/>
      <c r="N39" s="29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s="3" customFormat="1" x14ac:dyDescent="0.2">
      <c r="A40" s="23">
        <f t="shared" si="2"/>
        <v>37</v>
      </c>
      <c r="B40" s="128" t="s">
        <v>270</v>
      </c>
      <c r="C40" s="129" t="s">
        <v>222</v>
      </c>
      <c r="D40" s="129" t="s">
        <v>271</v>
      </c>
      <c r="E40" s="62"/>
      <c r="F40" s="61"/>
      <c r="G40" s="61"/>
      <c r="H40" s="61"/>
      <c r="I40" s="27" t="s">
        <v>93</v>
      </c>
      <c r="J40" s="131" t="s">
        <v>25</v>
      </c>
      <c r="K40" s="31" t="s">
        <v>156</v>
      </c>
      <c r="L40" s="31"/>
      <c r="M40" s="25"/>
      <c r="N40" s="29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s="3" customFormat="1" ht="38.25" x14ac:dyDescent="0.2">
      <c r="A41" s="23">
        <f t="shared" si="2"/>
        <v>38</v>
      </c>
      <c r="B41" s="103" t="s">
        <v>38</v>
      </c>
      <c r="C41" s="104" t="s">
        <v>39</v>
      </c>
      <c r="D41" s="43"/>
      <c r="E41" s="62">
        <v>282</v>
      </c>
      <c r="F41" s="61">
        <v>324</v>
      </c>
      <c r="G41" s="61">
        <v>376</v>
      </c>
      <c r="H41" s="61">
        <v>402</v>
      </c>
      <c r="I41" s="106" t="s">
        <v>93</v>
      </c>
      <c r="J41" s="105" t="s">
        <v>274</v>
      </c>
      <c r="K41" s="31" t="s">
        <v>157</v>
      </c>
      <c r="L41" s="30" t="s">
        <v>224</v>
      </c>
      <c r="M41" s="25"/>
      <c r="N41" s="29">
        <v>1.772</v>
      </c>
      <c r="O41" s="25">
        <f>N41*1000/H41</f>
        <v>4.4079601990049753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s="3" customFormat="1" ht="25.5" x14ac:dyDescent="0.2">
      <c r="A42" s="23">
        <f t="shared" si="2"/>
        <v>39</v>
      </c>
      <c r="B42" s="128" t="s">
        <v>38</v>
      </c>
      <c r="C42" s="129" t="s">
        <v>39</v>
      </c>
      <c r="D42" s="130"/>
      <c r="E42" s="62">
        <v>282</v>
      </c>
      <c r="F42" s="61">
        <v>324</v>
      </c>
      <c r="G42" s="61">
        <v>376</v>
      </c>
      <c r="H42" s="61">
        <v>402</v>
      </c>
      <c r="I42" s="106" t="s">
        <v>153</v>
      </c>
      <c r="J42" s="131" t="s">
        <v>275</v>
      </c>
      <c r="K42" s="31" t="s">
        <v>156</v>
      </c>
      <c r="L42" s="31"/>
      <c r="M42" s="25"/>
      <c r="N42" s="29">
        <f>3.873+4.107</f>
        <v>7.98</v>
      </c>
      <c r="O42" s="25">
        <f>N42*1000/H42</f>
        <v>19.850746268656717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s="3" customFormat="1" x14ac:dyDescent="0.2">
      <c r="A43" s="23">
        <f t="shared" si="2"/>
        <v>40</v>
      </c>
      <c r="B43" s="103" t="s">
        <v>199</v>
      </c>
      <c r="C43" s="104" t="s">
        <v>200</v>
      </c>
      <c r="D43" s="43"/>
      <c r="E43" s="62"/>
      <c r="F43" s="61"/>
      <c r="G43" s="61"/>
      <c r="H43" s="61"/>
      <c r="I43" s="106" t="s">
        <v>93</v>
      </c>
      <c r="J43" s="105" t="s">
        <v>276</v>
      </c>
      <c r="K43" s="31" t="s">
        <v>157</v>
      </c>
      <c r="L43" s="30" t="s">
        <v>224</v>
      </c>
      <c r="M43" s="25"/>
      <c r="N43" s="29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s="3" customFormat="1" x14ac:dyDescent="0.2">
      <c r="A44" s="23">
        <f t="shared" si="2"/>
        <v>41</v>
      </c>
      <c r="B44" s="128" t="s">
        <v>199</v>
      </c>
      <c r="C44" s="129" t="s">
        <v>200</v>
      </c>
      <c r="D44" s="130"/>
      <c r="E44" s="62"/>
      <c r="F44" s="61"/>
      <c r="G44" s="61"/>
      <c r="H44" s="61"/>
      <c r="I44" s="106" t="s">
        <v>153</v>
      </c>
      <c r="J44" s="27" t="s">
        <v>276</v>
      </c>
      <c r="K44" s="31" t="s">
        <v>157</v>
      </c>
      <c r="L44" s="31" t="s">
        <v>224</v>
      </c>
      <c r="M44" s="25"/>
      <c r="N44" s="29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s="3" customFormat="1" ht="25.5" x14ac:dyDescent="0.2">
      <c r="A45" s="23">
        <f t="shared" si="2"/>
        <v>42</v>
      </c>
      <c r="B45" s="103" t="s">
        <v>191</v>
      </c>
      <c r="C45" s="104" t="s">
        <v>192</v>
      </c>
      <c r="D45" s="43"/>
      <c r="E45" s="62">
        <v>501</v>
      </c>
      <c r="F45" s="61">
        <v>512</v>
      </c>
      <c r="G45" s="61">
        <v>525</v>
      </c>
      <c r="H45" s="61">
        <v>538</v>
      </c>
      <c r="I45" s="27" t="s">
        <v>153</v>
      </c>
      <c r="J45" s="105" t="s">
        <v>277</v>
      </c>
      <c r="K45" s="31" t="s">
        <v>157</v>
      </c>
      <c r="L45" s="30" t="s">
        <v>158</v>
      </c>
      <c r="M45" s="25"/>
      <c r="N45" s="29">
        <f>0.6+0.6+0.6</f>
        <v>1.7999999999999998</v>
      </c>
      <c r="O45" s="25">
        <f>N45*1000/H45</f>
        <v>3.3457249070631967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s="3" customFormat="1" ht="25.5" x14ac:dyDescent="0.2">
      <c r="A46" s="23">
        <f t="shared" si="2"/>
        <v>43</v>
      </c>
      <c r="B46" s="128" t="s">
        <v>21</v>
      </c>
      <c r="C46" s="129" t="s">
        <v>192</v>
      </c>
      <c r="D46" s="129" t="s">
        <v>211</v>
      </c>
      <c r="E46" s="62"/>
      <c r="F46" s="61"/>
      <c r="G46" s="61"/>
      <c r="H46" s="61"/>
      <c r="I46" s="27" t="s">
        <v>93</v>
      </c>
      <c r="J46" s="131" t="s">
        <v>278</v>
      </c>
      <c r="K46" s="31" t="s">
        <v>156</v>
      </c>
      <c r="L46" s="31"/>
      <c r="M46" s="25"/>
      <c r="N46" s="29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s="3" customFormat="1" x14ac:dyDescent="0.2">
      <c r="A47" s="23">
        <f t="shared" si="2"/>
        <v>44</v>
      </c>
      <c r="B47" s="103" t="s">
        <v>21</v>
      </c>
      <c r="C47" s="104" t="s">
        <v>192</v>
      </c>
      <c r="D47" s="104" t="s">
        <v>211</v>
      </c>
      <c r="E47" s="62"/>
      <c r="F47" s="61"/>
      <c r="G47" s="61"/>
      <c r="H47" s="61"/>
      <c r="I47" s="27" t="s">
        <v>153</v>
      </c>
      <c r="J47" s="105" t="s">
        <v>279</v>
      </c>
      <c r="K47" s="31" t="s">
        <v>157</v>
      </c>
      <c r="L47" s="30" t="s">
        <v>224</v>
      </c>
      <c r="M47" s="25"/>
      <c r="N47" s="29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s="3" customFormat="1" ht="25.5" x14ac:dyDescent="0.2">
      <c r="A48" s="23">
        <f t="shared" si="2"/>
        <v>45</v>
      </c>
      <c r="B48" s="128" t="s">
        <v>214</v>
      </c>
      <c r="C48" s="129" t="s">
        <v>192</v>
      </c>
      <c r="D48" s="129" t="s">
        <v>215</v>
      </c>
      <c r="E48" s="62">
        <v>64</v>
      </c>
      <c r="F48" s="61">
        <v>61</v>
      </c>
      <c r="G48" s="61">
        <v>56</v>
      </c>
      <c r="H48" s="61">
        <v>52</v>
      </c>
      <c r="I48" s="27" t="s">
        <v>93</v>
      </c>
      <c r="J48" s="131" t="s">
        <v>282</v>
      </c>
      <c r="K48" s="31" t="s">
        <v>157</v>
      </c>
      <c r="L48" s="31" t="s">
        <v>158</v>
      </c>
      <c r="M48" s="25"/>
      <c r="N48" s="29">
        <v>9.6999999999999993</v>
      </c>
      <c r="O48" s="25">
        <f>N48*1000/H48</f>
        <v>186.53846153846155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s="3" customFormat="1" ht="25.5" x14ac:dyDescent="0.2">
      <c r="A49" s="23">
        <f t="shared" si="2"/>
        <v>46</v>
      </c>
      <c r="B49" s="103" t="s">
        <v>214</v>
      </c>
      <c r="C49" s="104" t="s">
        <v>192</v>
      </c>
      <c r="D49" s="104" t="s">
        <v>215</v>
      </c>
      <c r="E49" s="62">
        <v>64</v>
      </c>
      <c r="F49" s="61">
        <v>61</v>
      </c>
      <c r="G49" s="61">
        <v>56</v>
      </c>
      <c r="H49" s="61">
        <v>52</v>
      </c>
      <c r="I49" s="27" t="s">
        <v>153</v>
      </c>
      <c r="J49" s="105" t="s">
        <v>283</v>
      </c>
      <c r="K49" s="31" t="s">
        <v>156</v>
      </c>
      <c r="L49" s="30"/>
      <c r="M49" s="25"/>
      <c r="N49" s="29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s="3" customFormat="1" ht="25.5" x14ac:dyDescent="0.2">
      <c r="A50" s="23">
        <f t="shared" si="2"/>
        <v>47</v>
      </c>
      <c r="B50" s="128" t="s">
        <v>284</v>
      </c>
      <c r="C50" s="129" t="s">
        <v>192</v>
      </c>
      <c r="D50" s="129" t="s">
        <v>280</v>
      </c>
      <c r="E50" s="62"/>
      <c r="F50" s="61"/>
      <c r="G50" s="61"/>
      <c r="H50" s="61"/>
      <c r="I50" s="106" t="s">
        <v>153</v>
      </c>
      <c r="J50" s="105" t="s">
        <v>283</v>
      </c>
      <c r="K50" s="31" t="s">
        <v>156</v>
      </c>
      <c r="L50" s="31"/>
      <c r="M50" s="25"/>
      <c r="N50" s="29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s="3" customFormat="1" ht="25.5" x14ac:dyDescent="0.2">
      <c r="A51" s="23">
        <f t="shared" si="2"/>
        <v>48</v>
      </c>
      <c r="B51" s="103" t="s">
        <v>285</v>
      </c>
      <c r="C51" s="104" t="s">
        <v>192</v>
      </c>
      <c r="D51" s="104" t="s">
        <v>281</v>
      </c>
      <c r="E51" s="62"/>
      <c r="F51" s="61"/>
      <c r="G51" s="61"/>
      <c r="H51" s="61"/>
      <c r="I51" s="27" t="s">
        <v>153</v>
      </c>
      <c r="J51" s="105" t="s">
        <v>283</v>
      </c>
      <c r="K51" s="31" t="s">
        <v>156</v>
      </c>
      <c r="L51" s="30"/>
      <c r="M51" s="25"/>
      <c r="N51" s="29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s="3" customFormat="1" x14ac:dyDescent="0.2">
      <c r="A52" s="23">
        <f t="shared" si="2"/>
        <v>49</v>
      </c>
      <c r="B52" s="128" t="s">
        <v>22</v>
      </c>
      <c r="C52" s="129" t="s">
        <v>192</v>
      </c>
      <c r="D52" s="129" t="s">
        <v>210</v>
      </c>
      <c r="E52" s="62">
        <v>22</v>
      </c>
      <c r="F52" s="61">
        <v>23</v>
      </c>
      <c r="G52" s="61">
        <v>24</v>
      </c>
      <c r="H52" s="61">
        <v>25</v>
      </c>
      <c r="I52" s="27" t="s">
        <v>93</v>
      </c>
      <c r="J52" s="105" t="s">
        <v>286</v>
      </c>
      <c r="K52" s="31" t="s">
        <v>157</v>
      </c>
      <c r="L52" s="31" t="s">
        <v>180</v>
      </c>
      <c r="M52" s="25"/>
      <c r="N52" s="29">
        <f>0.7+0.5+0.3</f>
        <v>1.5</v>
      </c>
      <c r="O52" s="25">
        <f>N52*1000/H52</f>
        <v>60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s="3" customFormat="1" x14ac:dyDescent="0.2">
      <c r="A53" s="23">
        <f t="shared" si="2"/>
        <v>50</v>
      </c>
      <c r="B53" s="103" t="s">
        <v>22</v>
      </c>
      <c r="C53" s="104" t="s">
        <v>192</v>
      </c>
      <c r="D53" s="104" t="s">
        <v>210</v>
      </c>
      <c r="E53" s="62">
        <v>22</v>
      </c>
      <c r="F53" s="61">
        <v>23</v>
      </c>
      <c r="G53" s="61">
        <v>24</v>
      </c>
      <c r="H53" s="61">
        <v>25</v>
      </c>
      <c r="I53" s="27" t="s">
        <v>153</v>
      </c>
      <c r="J53" s="105" t="s">
        <v>286</v>
      </c>
      <c r="K53" s="31" t="s">
        <v>157</v>
      </c>
      <c r="L53" s="30" t="s">
        <v>180</v>
      </c>
      <c r="M53" s="25"/>
      <c r="N53" s="29">
        <f>0.7+0.5+0.5</f>
        <v>1.7</v>
      </c>
      <c r="O53" s="25">
        <f>N53*1000/H53</f>
        <v>68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s="3" customFormat="1" ht="38.25" x14ac:dyDescent="0.2">
      <c r="A54" s="23">
        <f t="shared" si="2"/>
        <v>51</v>
      </c>
      <c r="B54" s="128" t="s">
        <v>216</v>
      </c>
      <c r="C54" s="129" t="s">
        <v>217</v>
      </c>
      <c r="D54" s="130"/>
      <c r="E54" s="62"/>
      <c r="F54" s="61"/>
      <c r="G54" s="61"/>
      <c r="H54" s="61"/>
      <c r="I54" s="27" t="s">
        <v>93</v>
      </c>
      <c r="J54" s="131" t="s">
        <v>287</v>
      </c>
      <c r="K54" s="31" t="s">
        <v>157</v>
      </c>
      <c r="L54" s="31" t="s">
        <v>158</v>
      </c>
      <c r="M54" s="25"/>
      <c r="N54" s="29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s="3" customFormat="1" ht="25.5" x14ac:dyDescent="0.2">
      <c r="A55" s="23">
        <f t="shared" si="2"/>
        <v>52</v>
      </c>
      <c r="B55" s="103" t="s">
        <v>216</v>
      </c>
      <c r="C55" s="104" t="s">
        <v>217</v>
      </c>
      <c r="D55" s="43"/>
      <c r="E55" s="62"/>
      <c r="F55" s="61"/>
      <c r="G55" s="61"/>
      <c r="H55" s="61"/>
      <c r="I55" s="27" t="s">
        <v>153</v>
      </c>
      <c r="J55" s="105" t="s">
        <v>288</v>
      </c>
      <c r="K55" s="31" t="s">
        <v>157</v>
      </c>
      <c r="L55" s="30" t="s">
        <v>158</v>
      </c>
      <c r="M55" s="25"/>
      <c r="N55" s="29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s="3" customFormat="1" ht="25.5" x14ac:dyDescent="0.2">
      <c r="A56" s="23">
        <f t="shared" si="2"/>
        <v>53</v>
      </c>
      <c r="B56" s="128" t="s">
        <v>23</v>
      </c>
      <c r="C56" s="129" t="s">
        <v>217</v>
      </c>
      <c r="D56" s="129" t="s">
        <v>209</v>
      </c>
      <c r="E56" s="62"/>
      <c r="F56" s="61"/>
      <c r="G56" s="61"/>
      <c r="H56" s="61"/>
      <c r="I56" s="27" t="s">
        <v>93</v>
      </c>
      <c r="J56" s="131" t="s">
        <v>289</v>
      </c>
      <c r="K56" s="31" t="s">
        <v>157</v>
      </c>
      <c r="L56" s="31" t="s">
        <v>158</v>
      </c>
      <c r="M56" s="25"/>
      <c r="N56" s="29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s="3" customFormat="1" ht="25.5" x14ac:dyDescent="0.2">
      <c r="A57" s="23">
        <f t="shared" si="2"/>
        <v>54</v>
      </c>
      <c r="B57" s="103" t="s">
        <v>23</v>
      </c>
      <c r="C57" s="104" t="s">
        <v>217</v>
      </c>
      <c r="D57" s="104" t="s">
        <v>209</v>
      </c>
      <c r="E57" s="62"/>
      <c r="F57" s="61"/>
      <c r="G57" s="61"/>
      <c r="H57" s="61"/>
      <c r="I57" s="27" t="s">
        <v>153</v>
      </c>
      <c r="J57" s="105" t="s">
        <v>290</v>
      </c>
      <c r="K57" s="31" t="s">
        <v>157</v>
      </c>
      <c r="L57" s="30" t="s">
        <v>158</v>
      </c>
      <c r="M57" s="25"/>
      <c r="N57" s="29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 s="3" customFormat="1" ht="25.5" x14ac:dyDescent="0.2">
      <c r="A58" s="23">
        <f t="shared" si="2"/>
        <v>55</v>
      </c>
      <c r="B58" s="128" t="s">
        <v>291</v>
      </c>
      <c r="C58" s="129" t="s">
        <v>292</v>
      </c>
      <c r="D58" s="130"/>
      <c r="E58" s="62">
        <v>174</v>
      </c>
      <c r="F58" s="61">
        <v>184</v>
      </c>
      <c r="G58" s="61">
        <v>197</v>
      </c>
      <c r="H58" s="61">
        <v>209</v>
      </c>
      <c r="I58" s="27" t="s">
        <v>93</v>
      </c>
      <c r="J58" s="131" t="s">
        <v>293</v>
      </c>
      <c r="K58" s="31" t="s">
        <v>156</v>
      </c>
      <c r="L58" s="31"/>
      <c r="M58" s="25"/>
      <c r="N58" s="29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 s="3" customFormat="1" ht="25.5" x14ac:dyDescent="0.2">
      <c r="A59" s="23">
        <f t="shared" si="2"/>
        <v>56</v>
      </c>
      <c r="B59" s="128" t="s">
        <v>291</v>
      </c>
      <c r="C59" s="129" t="s">
        <v>292</v>
      </c>
      <c r="D59" s="130"/>
      <c r="E59" s="62">
        <v>174</v>
      </c>
      <c r="F59" s="61">
        <v>184</v>
      </c>
      <c r="G59" s="61">
        <v>197</v>
      </c>
      <c r="H59" s="61">
        <v>209</v>
      </c>
      <c r="I59" s="106" t="s">
        <v>153</v>
      </c>
      <c r="J59" s="131" t="s">
        <v>294</v>
      </c>
      <c r="K59" s="31" t="s">
        <v>157</v>
      </c>
      <c r="L59" s="31" t="s">
        <v>224</v>
      </c>
      <c r="M59" s="25"/>
      <c r="N59" s="29">
        <v>16</v>
      </c>
      <c r="O59" s="25">
        <f>N59*1000/H59</f>
        <v>76.555023923444978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 s="3" customFormat="1" ht="25.5" x14ac:dyDescent="0.2">
      <c r="A60" s="23">
        <f t="shared" si="2"/>
        <v>57</v>
      </c>
      <c r="B60" s="103" t="s">
        <v>151</v>
      </c>
      <c r="C60" s="129" t="s">
        <v>150</v>
      </c>
      <c r="D60" s="130"/>
      <c r="E60" s="62">
        <v>1289</v>
      </c>
      <c r="F60" s="61">
        <v>1331</v>
      </c>
      <c r="G60" s="61">
        <v>1384</v>
      </c>
      <c r="H60" s="61">
        <v>1437</v>
      </c>
      <c r="I60" s="106" t="s">
        <v>93</v>
      </c>
      <c r="J60" s="105" t="s">
        <v>295</v>
      </c>
      <c r="K60" s="31" t="s">
        <v>157</v>
      </c>
      <c r="L60" s="30" t="s">
        <v>158</v>
      </c>
      <c r="M60" s="25"/>
      <c r="N60" s="29">
        <v>2.4700000000000002</v>
      </c>
      <c r="O60" s="25">
        <f>N60*1000/H60</f>
        <v>1.7188587334725123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 s="3" customFormat="1" ht="38.25" x14ac:dyDescent="0.2">
      <c r="A61" s="23">
        <f t="shared" si="2"/>
        <v>58</v>
      </c>
      <c r="B61" s="128" t="s">
        <v>151</v>
      </c>
      <c r="C61" s="129" t="s">
        <v>150</v>
      </c>
      <c r="D61" s="130"/>
      <c r="E61" s="62">
        <v>1289</v>
      </c>
      <c r="F61" s="62">
        <v>1331</v>
      </c>
      <c r="G61" s="62">
        <v>1384</v>
      </c>
      <c r="H61" s="62">
        <v>1437</v>
      </c>
      <c r="I61" s="106" t="s">
        <v>153</v>
      </c>
      <c r="J61" s="131" t="s">
        <v>296</v>
      </c>
      <c r="K61" s="31" t="s">
        <v>157</v>
      </c>
      <c r="L61" s="31" t="s">
        <v>180</v>
      </c>
      <c r="M61" s="25"/>
      <c r="N61" s="29">
        <v>10.984</v>
      </c>
      <c r="O61" s="25">
        <f>N61*1000/H61</f>
        <v>7.6437021572720942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 s="3" customFormat="1" ht="25.5" x14ac:dyDescent="0.2">
      <c r="A62" s="23">
        <f t="shared" si="2"/>
        <v>59</v>
      </c>
      <c r="B62" s="103" t="s">
        <v>218</v>
      </c>
      <c r="C62" s="129" t="s">
        <v>219</v>
      </c>
      <c r="D62" s="130"/>
      <c r="E62" s="62"/>
      <c r="F62" s="61"/>
      <c r="G62" s="61"/>
      <c r="H62" s="61"/>
      <c r="I62" s="106" t="s">
        <v>93</v>
      </c>
      <c r="J62" s="105" t="s">
        <v>297</v>
      </c>
      <c r="K62" s="31" t="s">
        <v>157</v>
      </c>
      <c r="L62" s="30" t="s">
        <v>180</v>
      </c>
      <c r="M62" s="25"/>
      <c r="N62" s="29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:66" s="3" customFormat="1" ht="38.25" x14ac:dyDescent="0.2">
      <c r="A63" s="23">
        <f t="shared" si="2"/>
        <v>60</v>
      </c>
      <c r="B63" s="128" t="s">
        <v>218</v>
      </c>
      <c r="C63" s="129" t="s">
        <v>219</v>
      </c>
      <c r="D63" s="130"/>
      <c r="E63" s="62"/>
      <c r="F63" s="61"/>
      <c r="G63" s="61"/>
      <c r="H63" s="61"/>
      <c r="I63" s="106" t="s">
        <v>153</v>
      </c>
      <c r="J63" s="131" t="s">
        <v>298</v>
      </c>
      <c r="K63" s="31" t="s">
        <v>157</v>
      </c>
      <c r="L63" s="31" t="s">
        <v>158</v>
      </c>
      <c r="M63" s="25"/>
      <c r="N63" s="29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:66" s="3" customFormat="1" x14ac:dyDescent="0.2">
      <c r="A64" s="23">
        <f t="shared" si="2"/>
        <v>61</v>
      </c>
      <c r="B64" s="103" t="s">
        <v>55</v>
      </c>
      <c r="C64" s="129" t="s">
        <v>219</v>
      </c>
      <c r="D64" s="129" t="s">
        <v>52</v>
      </c>
      <c r="E64" s="62"/>
      <c r="F64" s="61"/>
      <c r="G64" s="61"/>
      <c r="H64" s="61"/>
      <c r="I64" s="106" t="s">
        <v>93</v>
      </c>
      <c r="J64" s="105" t="s">
        <v>300</v>
      </c>
      <c r="K64" s="31" t="s">
        <v>157</v>
      </c>
      <c r="L64" s="30" t="s">
        <v>180</v>
      </c>
      <c r="M64" s="25"/>
      <c r="N64" s="29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 s="3" customFormat="1" x14ac:dyDescent="0.2">
      <c r="A65" s="23">
        <f t="shared" si="2"/>
        <v>62</v>
      </c>
      <c r="B65" s="128" t="s">
        <v>55</v>
      </c>
      <c r="C65" s="129" t="s">
        <v>219</v>
      </c>
      <c r="D65" s="129" t="s">
        <v>52</v>
      </c>
      <c r="E65" s="62"/>
      <c r="F65" s="61"/>
      <c r="G65" s="61"/>
      <c r="H65" s="61"/>
      <c r="I65" s="106" t="s">
        <v>153</v>
      </c>
      <c r="J65" s="131" t="s">
        <v>301</v>
      </c>
      <c r="K65" s="31" t="s">
        <v>157</v>
      </c>
      <c r="L65" s="31" t="s">
        <v>180</v>
      </c>
      <c r="M65" s="25"/>
      <c r="N65" s="29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 s="3" customFormat="1" ht="25.5" x14ac:dyDescent="0.2">
      <c r="A66" s="23">
        <f t="shared" si="2"/>
        <v>63</v>
      </c>
      <c r="B66" s="103" t="s">
        <v>24</v>
      </c>
      <c r="C66" s="129" t="s">
        <v>219</v>
      </c>
      <c r="D66" s="129" t="s">
        <v>51</v>
      </c>
      <c r="E66" s="62">
        <v>22</v>
      </c>
      <c r="F66" s="61">
        <v>26</v>
      </c>
      <c r="G66" s="61">
        <v>32</v>
      </c>
      <c r="H66" s="61">
        <v>37</v>
      </c>
      <c r="I66" s="106" t="s">
        <v>93</v>
      </c>
      <c r="J66" s="105" t="s">
        <v>302</v>
      </c>
      <c r="K66" s="31" t="s">
        <v>157</v>
      </c>
      <c r="L66" s="30" t="s">
        <v>158</v>
      </c>
      <c r="M66" s="25"/>
      <c r="N66" s="29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 s="3" customFormat="1" ht="38.25" x14ac:dyDescent="0.2">
      <c r="A67" s="23">
        <f t="shared" si="2"/>
        <v>64</v>
      </c>
      <c r="B67" s="128" t="s">
        <v>24</v>
      </c>
      <c r="C67" s="129" t="s">
        <v>219</v>
      </c>
      <c r="D67" s="129" t="s">
        <v>51</v>
      </c>
      <c r="E67" s="62">
        <v>22</v>
      </c>
      <c r="F67" s="61">
        <v>26</v>
      </c>
      <c r="G67" s="61">
        <v>32</v>
      </c>
      <c r="H67" s="61">
        <v>37</v>
      </c>
      <c r="I67" s="106" t="s">
        <v>153</v>
      </c>
      <c r="J67" s="131" t="s">
        <v>303</v>
      </c>
      <c r="K67" s="31" t="s">
        <v>157</v>
      </c>
      <c r="L67" s="31" t="s">
        <v>158</v>
      </c>
      <c r="M67" s="25"/>
      <c r="N67" s="29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s="3" customFormat="1" ht="38.25" x14ac:dyDescent="0.2">
      <c r="A68" s="23">
        <f t="shared" si="2"/>
        <v>65</v>
      </c>
      <c r="B68" s="103" t="s">
        <v>223</v>
      </c>
      <c r="C68" s="129" t="s">
        <v>219</v>
      </c>
      <c r="D68" s="129" t="s">
        <v>299</v>
      </c>
      <c r="E68" s="62"/>
      <c r="F68" s="61"/>
      <c r="G68" s="61"/>
      <c r="H68" s="61"/>
      <c r="I68" s="106" t="s">
        <v>153</v>
      </c>
      <c r="J68" s="105" t="s">
        <v>304</v>
      </c>
      <c r="K68" s="31" t="s">
        <v>157</v>
      </c>
      <c r="L68" s="30" t="s">
        <v>158</v>
      </c>
      <c r="M68" s="25"/>
      <c r="N68" s="29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x14ac:dyDescent="0.2">
      <c r="E69" s="1"/>
      <c r="F69" s="1"/>
      <c r="G69" s="1"/>
      <c r="H69" s="1"/>
      <c r="J69" s="26"/>
      <c r="M69" s="46"/>
      <c r="N69" s="47"/>
      <c r="O69" s="46"/>
    </row>
    <row r="70" spans="1:66" x14ac:dyDescent="0.2">
      <c r="E70" s="1"/>
      <c r="F70" s="1"/>
      <c r="G70" s="1"/>
      <c r="H70" s="1"/>
      <c r="J70" s="26"/>
      <c r="M70" s="46"/>
      <c r="N70" s="47"/>
      <c r="O70" s="46"/>
    </row>
    <row r="71" spans="1:66" x14ac:dyDescent="0.2">
      <c r="E71" s="1"/>
      <c r="F71" s="1"/>
      <c r="G71" s="1"/>
      <c r="H71" s="1"/>
      <c r="J71" s="26"/>
      <c r="M71" s="46"/>
      <c r="N71" s="47"/>
      <c r="O71" s="46"/>
    </row>
    <row r="72" spans="1:66" x14ac:dyDescent="0.2">
      <c r="E72" s="1"/>
      <c r="F72" s="1"/>
      <c r="G72" s="1"/>
      <c r="H72" s="1"/>
      <c r="J72" s="26"/>
      <c r="M72" s="46"/>
      <c r="N72" s="47"/>
      <c r="O72" s="46"/>
    </row>
    <row r="73" spans="1:66" x14ac:dyDescent="0.2">
      <c r="E73" s="1"/>
      <c r="F73" s="1"/>
      <c r="G73" s="1"/>
      <c r="H73" s="1"/>
      <c r="J73" s="26"/>
      <c r="M73" s="46"/>
      <c r="N73" s="47"/>
      <c r="O73" s="46"/>
    </row>
    <row r="74" spans="1:66" x14ac:dyDescent="0.2">
      <c r="E74" s="1"/>
      <c r="F74" s="1"/>
      <c r="G74" s="1"/>
      <c r="H74" s="1"/>
      <c r="J74" s="26"/>
      <c r="M74" s="46"/>
      <c r="N74" s="47"/>
      <c r="O74" s="46"/>
    </row>
    <row r="75" spans="1:66" x14ac:dyDescent="0.2">
      <c r="E75" s="1"/>
      <c r="F75" s="1"/>
      <c r="G75" s="1"/>
      <c r="H75" s="1"/>
      <c r="J75" s="26"/>
      <c r="M75" s="46"/>
      <c r="N75" s="47"/>
      <c r="O75" s="46"/>
    </row>
    <row r="76" spans="1:66" x14ac:dyDescent="0.2">
      <c r="E76" s="1"/>
      <c r="F76" s="1"/>
      <c r="G76" s="1"/>
      <c r="H76" s="1"/>
      <c r="J76" s="26"/>
      <c r="M76" s="46"/>
      <c r="N76" s="47"/>
      <c r="O76" s="46"/>
    </row>
    <row r="77" spans="1:66" x14ac:dyDescent="0.2">
      <c r="E77" s="1"/>
      <c r="F77" s="1"/>
      <c r="G77" s="1"/>
      <c r="H77" s="1"/>
      <c r="J77" s="26"/>
      <c r="M77" s="46"/>
      <c r="N77" s="47"/>
      <c r="O77" s="46"/>
    </row>
    <row r="78" spans="1:66" x14ac:dyDescent="0.2">
      <c r="E78" s="1"/>
      <c r="F78" s="1"/>
      <c r="G78" s="1"/>
      <c r="H78" s="1"/>
      <c r="J78" s="26"/>
      <c r="M78" s="46"/>
      <c r="N78" s="47"/>
      <c r="O78" s="46"/>
    </row>
    <row r="79" spans="1:66" x14ac:dyDescent="0.2">
      <c r="E79" s="1"/>
      <c r="F79" s="1"/>
      <c r="G79" s="1"/>
      <c r="H79" s="1"/>
      <c r="J79" s="26"/>
      <c r="M79" s="46"/>
      <c r="N79" s="47"/>
      <c r="O79" s="46"/>
    </row>
    <row r="80" spans="1:66" x14ac:dyDescent="0.2">
      <c r="E80" s="1"/>
      <c r="F80" s="1"/>
      <c r="G80" s="1"/>
      <c r="H80" s="1"/>
      <c r="J80" s="26"/>
      <c r="M80" s="46"/>
      <c r="N80" s="47"/>
      <c r="O80" s="46"/>
    </row>
    <row r="81" spans="5:15" x14ac:dyDescent="0.2">
      <c r="E81" s="1"/>
      <c r="F81" s="1"/>
      <c r="G81" s="1"/>
      <c r="H81" s="1"/>
      <c r="J81" s="26"/>
      <c r="M81" s="46"/>
      <c r="N81" s="47"/>
      <c r="O81" s="46"/>
    </row>
    <row r="82" spans="5:15" x14ac:dyDescent="0.2">
      <c r="E82" s="1"/>
      <c r="F82" s="1"/>
      <c r="G82" s="1"/>
      <c r="H82" s="1"/>
      <c r="J82" s="26"/>
      <c r="M82" s="46"/>
      <c r="N82" s="47"/>
      <c r="O82" s="46"/>
    </row>
    <row r="83" spans="5:15" x14ac:dyDescent="0.2">
      <c r="E83" s="1"/>
      <c r="F83" s="1"/>
      <c r="G83" s="1"/>
      <c r="H83" s="1"/>
      <c r="J83" s="26"/>
      <c r="M83" s="46"/>
      <c r="N83" s="47"/>
      <c r="O83" s="46"/>
    </row>
    <row r="84" spans="5:15" x14ac:dyDescent="0.2">
      <c r="E84" s="1"/>
      <c r="F84" s="1"/>
      <c r="G84" s="1"/>
      <c r="H84" s="1"/>
      <c r="J84" s="26"/>
      <c r="M84" s="46"/>
      <c r="N84" s="47"/>
      <c r="O84" s="46"/>
    </row>
    <row r="85" spans="5:15" x14ac:dyDescent="0.2">
      <c r="E85" s="1"/>
      <c r="F85" s="1"/>
      <c r="G85" s="1"/>
      <c r="H85" s="1"/>
      <c r="J85" s="26"/>
      <c r="M85" s="46"/>
      <c r="N85" s="47"/>
      <c r="O85" s="46"/>
    </row>
    <row r="86" spans="5:15" x14ac:dyDescent="0.2">
      <c r="E86" s="1"/>
      <c r="F86" s="1"/>
      <c r="G86" s="1"/>
      <c r="H86" s="1"/>
      <c r="J86" s="26"/>
      <c r="M86" s="46"/>
      <c r="N86" s="47"/>
      <c r="O86" s="46"/>
    </row>
    <row r="87" spans="5:15" x14ac:dyDescent="0.2">
      <c r="E87" s="1"/>
      <c r="F87" s="1"/>
      <c r="G87" s="1"/>
      <c r="H87" s="1"/>
      <c r="J87" s="26"/>
      <c r="M87" s="46"/>
      <c r="N87" s="47"/>
      <c r="O87" s="46"/>
    </row>
    <row r="88" spans="5:15" x14ac:dyDescent="0.2">
      <c r="E88" s="1"/>
      <c r="F88" s="1"/>
      <c r="G88" s="1"/>
      <c r="H88" s="1"/>
      <c r="J88" s="26"/>
      <c r="M88" s="46"/>
      <c r="N88" s="47"/>
      <c r="O88" s="46"/>
    </row>
    <row r="89" spans="5:15" x14ac:dyDescent="0.2">
      <c r="E89" s="1"/>
      <c r="F89" s="1"/>
      <c r="G89" s="1"/>
      <c r="H89" s="1"/>
      <c r="J89" s="26"/>
      <c r="M89" s="46"/>
      <c r="N89" s="47"/>
      <c r="O89" s="46"/>
    </row>
    <row r="90" spans="5:15" x14ac:dyDescent="0.2">
      <c r="E90" s="1"/>
      <c r="F90" s="1"/>
      <c r="G90" s="1"/>
      <c r="H90" s="1"/>
      <c r="J90" s="26"/>
      <c r="M90" s="46"/>
      <c r="N90" s="47"/>
      <c r="O90" s="46"/>
    </row>
    <row r="91" spans="5:15" x14ac:dyDescent="0.2">
      <c r="E91" s="1"/>
      <c r="F91" s="1"/>
      <c r="G91" s="1"/>
      <c r="H91" s="1"/>
      <c r="J91" s="26"/>
      <c r="M91" s="46"/>
      <c r="N91" s="47"/>
      <c r="O91" s="46"/>
    </row>
    <row r="92" spans="5:15" x14ac:dyDescent="0.2">
      <c r="E92" s="1"/>
      <c r="F92" s="1"/>
      <c r="G92" s="1"/>
      <c r="H92" s="1"/>
      <c r="J92" s="26"/>
      <c r="M92" s="46"/>
      <c r="N92" s="47"/>
      <c r="O92" s="46"/>
    </row>
    <row r="93" spans="5:15" x14ac:dyDescent="0.2">
      <c r="E93" s="1"/>
      <c r="F93" s="1"/>
      <c r="G93" s="1"/>
      <c r="H93" s="1"/>
      <c r="J93" s="26"/>
      <c r="M93" s="46"/>
      <c r="N93" s="47"/>
      <c r="O93" s="46"/>
    </row>
    <row r="94" spans="5:15" x14ac:dyDescent="0.2">
      <c r="E94" s="1"/>
      <c r="F94" s="1"/>
      <c r="G94" s="1"/>
      <c r="H94" s="1"/>
      <c r="J94" s="26"/>
      <c r="M94" s="46"/>
      <c r="N94" s="47"/>
      <c r="O94" s="46"/>
    </row>
    <row r="95" spans="5:15" x14ac:dyDescent="0.2">
      <c r="E95" s="1"/>
      <c r="F95" s="1"/>
      <c r="G95" s="1"/>
      <c r="H95" s="1"/>
      <c r="J95" s="26"/>
      <c r="M95" s="46"/>
      <c r="N95" s="47"/>
      <c r="O95" s="46"/>
    </row>
    <row r="96" spans="5:15" x14ac:dyDescent="0.2">
      <c r="E96" s="1"/>
      <c r="F96" s="1"/>
      <c r="G96" s="1"/>
      <c r="H96" s="1"/>
      <c r="J96" s="26"/>
      <c r="M96" s="46"/>
      <c r="N96" s="47"/>
      <c r="O96" s="46"/>
    </row>
    <row r="97" spans="5:15" x14ac:dyDescent="0.2">
      <c r="E97" s="1"/>
      <c r="F97" s="1"/>
      <c r="G97" s="1"/>
      <c r="H97" s="1"/>
      <c r="J97" s="26"/>
      <c r="M97" s="46"/>
      <c r="N97" s="47"/>
      <c r="O97" s="46"/>
    </row>
    <row r="98" spans="5:15" x14ac:dyDescent="0.2">
      <c r="E98" s="1"/>
      <c r="F98" s="1"/>
      <c r="G98" s="1"/>
      <c r="H98" s="1"/>
      <c r="J98" s="26"/>
      <c r="M98" s="46"/>
      <c r="N98" s="47"/>
      <c r="O98" s="46"/>
    </row>
    <row r="99" spans="5:15" x14ac:dyDescent="0.2">
      <c r="E99" s="1"/>
      <c r="F99" s="1"/>
      <c r="G99" s="1"/>
      <c r="H99" s="1"/>
      <c r="J99" s="26"/>
      <c r="M99" s="46"/>
      <c r="N99" s="47"/>
      <c r="O99" s="46"/>
    </row>
    <row r="100" spans="5:15" x14ac:dyDescent="0.2">
      <c r="E100" s="1"/>
      <c r="F100" s="1"/>
      <c r="G100" s="1"/>
      <c r="H100" s="1"/>
      <c r="J100" s="26"/>
      <c r="M100" s="46"/>
      <c r="N100" s="47"/>
      <c r="O100" s="46"/>
    </row>
    <row r="101" spans="5:15" x14ac:dyDescent="0.2">
      <c r="E101" s="1"/>
      <c r="F101" s="1"/>
      <c r="G101" s="1"/>
      <c r="H101" s="1"/>
      <c r="J101" s="26"/>
      <c r="M101" s="46"/>
      <c r="N101" s="47"/>
      <c r="O101" s="46"/>
    </row>
    <row r="102" spans="5:15" x14ac:dyDescent="0.2">
      <c r="E102" s="1"/>
      <c r="F102" s="1"/>
      <c r="G102" s="1"/>
      <c r="H102" s="1"/>
      <c r="J102" s="26"/>
      <c r="M102" s="46"/>
      <c r="N102" s="47"/>
      <c r="O102" s="46"/>
    </row>
    <row r="103" spans="5:15" x14ac:dyDescent="0.2">
      <c r="E103" s="1"/>
      <c r="F103" s="1"/>
      <c r="G103" s="1"/>
      <c r="H103" s="1"/>
      <c r="J103" s="26"/>
      <c r="M103" s="46"/>
      <c r="N103" s="47"/>
      <c r="O103" s="46"/>
    </row>
    <row r="104" spans="5:15" x14ac:dyDescent="0.2">
      <c r="E104" s="1"/>
      <c r="F104" s="1"/>
      <c r="G104" s="1"/>
      <c r="H104" s="1"/>
      <c r="J104" s="26"/>
      <c r="M104" s="46"/>
      <c r="N104" s="47"/>
      <c r="O104" s="46"/>
    </row>
    <row r="105" spans="5:15" x14ac:dyDescent="0.2">
      <c r="E105" s="1"/>
      <c r="F105" s="1"/>
      <c r="G105" s="1"/>
      <c r="H105" s="1"/>
      <c r="J105" s="26"/>
      <c r="M105" s="46"/>
      <c r="N105" s="47"/>
      <c r="O105" s="46"/>
    </row>
    <row r="106" spans="5:15" x14ac:dyDescent="0.2">
      <c r="E106" s="1"/>
      <c r="F106" s="1"/>
      <c r="G106" s="1"/>
      <c r="H106" s="1"/>
      <c r="J106" s="26"/>
      <c r="M106" s="46"/>
      <c r="N106" s="47"/>
      <c r="O106" s="46"/>
    </row>
    <row r="107" spans="5:15" x14ac:dyDescent="0.2">
      <c r="E107" s="1"/>
      <c r="F107" s="1"/>
      <c r="G107" s="1"/>
      <c r="H107" s="1"/>
      <c r="J107" s="26"/>
      <c r="M107" s="46"/>
      <c r="N107" s="47"/>
      <c r="O107" s="46"/>
    </row>
    <row r="108" spans="5:15" x14ac:dyDescent="0.2">
      <c r="E108" s="1"/>
      <c r="F108" s="1"/>
      <c r="G108" s="1"/>
      <c r="H108" s="1"/>
      <c r="J108" s="26"/>
      <c r="M108" s="46"/>
      <c r="N108" s="47"/>
      <c r="O108" s="46"/>
    </row>
    <row r="109" spans="5:15" x14ac:dyDescent="0.2">
      <c r="E109" s="1"/>
      <c r="F109" s="1"/>
      <c r="G109" s="1"/>
      <c r="H109" s="1"/>
      <c r="M109" s="46"/>
      <c r="N109" s="47"/>
      <c r="O109" s="46"/>
    </row>
    <row r="110" spans="5:15" x14ac:dyDescent="0.2">
      <c r="E110" s="1"/>
      <c r="F110" s="1"/>
      <c r="G110" s="1"/>
      <c r="H110" s="1"/>
      <c r="M110" s="46"/>
      <c r="N110" s="47"/>
      <c r="O110" s="46"/>
    </row>
    <row r="111" spans="5:15" x14ac:dyDescent="0.2">
      <c r="E111" s="1"/>
      <c r="F111" s="1"/>
      <c r="G111" s="1"/>
      <c r="H111" s="1"/>
      <c r="M111" s="46"/>
      <c r="N111" s="47"/>
      <c r="O111" s="46"/>
    </row>
    <row r="112" spans="5:15" x14ac:dyDescent="0.2">
      <c r="E112" s="1"/>
      <c r="F112" s="1"/>
      <c r="G112" s="1"/>
      <c r="H112" s="1"/>
      <c r="M112" s="46"/>
      <c r="N112" s="47"/>
      <c r="O112" s="46"/>
    </row>
    <row r="113" spans="5:15" x14ac:dyDescent="0.2">
      <c r="E113" s="1"/>
      <c r="F113" s="1"/>
      <c r="G113" s="1"/>
      <c r="H113" s="1"/>
      <c r="M113" s="46"/>
      <c r="N113" s="47"/>
      <c r="O113" s="46"/>
    </row>
    <row r="114" spans="5:15" x14ac:dyDescent="0.2">
      <c r="E114" s="1"/>
      <c r="F114" s="1"/>
      <c r="G114" s="1"/>
      <c r="H114" s="1"/>
      <c r="M114" s="46"/>
      <c r="N114" s="47"/>
      <c r="O114" s="46"/>
    </row>
    <row r="115" spans="5:15" x14ac:dyDescent="0.2">
      <c r="E115" s="1"/>
      <c r="F115" s="1"/>
      <c r="G115" s="1"/>
      <c r="H115" s="1"/>
      <c r="M115" s="46"/>
      <c r="N115" s="47"/>
      <c r="O115" s="46"/>
    </row>
    <row r="116" spans="5:15" x14ac:dyDescent="0.2">
      <c r="E116" s="1"/>
      <c r="F116" s="1"/>
      <c r="G116" s="1"/>
      <c r="H116" s="1"/>
      <c r="M116" s="46"/>
      <c r="N116" s="47"/>
      <c r="O116" s="46"/>
    </row>
    <row r="117" spans="5:15" x14ac:dyDescent="0.2">
      <c r="E117" s="1"/>
      <c r="F117" s="1"/>
      <c r="G117" s="1"/>
      <c r="H117" s="1"/>
      <c r="M117" s="46"/>
      <c r="N117" s="47"/>
      <c r="O117" s="46"/>
    </row>
    <row r="118" spans="5:15" x14ac:dyDescent="0.2">
      <c r="E118" s="1"/>
      <c r="F118" s="1"/>
      <c r="G118" s="1"/>
      <c r="H118" s="1"/>
      <c r="M118" s="46"/>
      <c r="N118" s="47"/>
      <c r="O118" s="46"/>
    </row>
    <row r="119" spans="5:15" x14ac:dyDescent="0.2">
      <c r="E119" s="1"/>
      <c r="F119" s="1"/>
      <c r="G119" s="1"/>
      <c r="H119" s="1"/>
      <c r="M119" s="46"/>
      <c r="N119" s="47"/>
      <c r="O119" s="46"/>
    </row>
    <row r="120" spans="5:15" x14ac:dyDescent="0.2">
      <c r="E120" s="1"/>
      <c r="F120" s="1"/>
      <c r="G120" s="1"/>
      <c r="H120" s="1"/>
      <c r="M120" s="46"/>
      <c r="N120" s="47"/>
      <c r="O120" s="46"/>
    </row>
    <row r="121" spans="5:15" x14ac:dyDescent="0.2">
      <c r="E121" s="1"/>
      <c r="F121" s="1"/>
      <c r="G121" s="1"/>
      <c r="H121" s="1"/>
      <c r="M121" s="46"/>
      <c r="N121" s="47"/>
      <c r="O121" s="46"/>
    </row>
    <row r="122" spans="5:15" x14ac:dyDescent="0.2">
      <c r="E122" s="1"/>
      <c r="F122" s="1"/>
      <c r="G122" s="1"/>
      <c r="H122" s="1"/>
      <c r="M122" s="46"/>
      <c r="N122" s="47"/>
      <c r="O122" s="46"/>
    </row>
    <row r="123" spans="5:15" x14ac:dyDescent="0.2">
      <c r="E123" s="1"/>
      <c r="F123" s="1"/>
      <c r="G123" s="1"/>
      <c r="H123" s="1"/>
      <c r="M123" s="46"/>
      <c r="N123" s="47"/>
      <c r="O123" s="46"/>
    </row>
    <row r="124" spans="5:15" x14ac:dyDescent="0.2">
      <c r="E124" s="1"/>
      <c r="F124" s="1"/>
      <c r="G124" s="1"/>
      <c r="H124" s="1"/>
      <c r="M124" s="46"/>
      <c r="N124" s="47"/>
      <c r="O124" s="46"/>
    </row>
    <row r="125" spans="5:15" x14ac:dyDescent="0.2">
      <c r="E125" s="1"/>
      <c r="F125" s="1"/>
      <c r="G125" s="1"/>
      <c r="H125" s="1"/>
      <c r="M125" s="46"/>
      <c r="N125" s="47"/>
      <c r="O125" s="46"/>
    </row>
    <row r="126" spans="5:15" x14ac:dyDescent="0.2">
      <c r="E126" s="1"/>
      <c r="F126" s="1"/>
      <c r="G126" s="1"/>
      <c r="H126" s="1"/>
      <c r="M126" s="46"/>
      <c r="N126" s="47"/>
      <c r="O126" s="46"/>
    </row>
    <row r="127" spans="5:15" x14ac:dyDescent="0.2">
      <c r="E127" s="1"/>
      <c r="F127" s="1"/>
      <c r="G127" s="1"/>
      <c r="H127" s="1"/>
      <c r="M127" s="46"/>
      <c r="N127" s="47"/>
      <c r="O127" s="46"/>
    </row>
    <row r="128" spans="5:15" x14ac:dyDescent="0.2">
      <c r="E128" s="1"/>
      <c r="F128" s="1"/>
      <c r="G128" s="1"/>
      <c r="H128" s="1"/>
      <c r="M128" s="46"/>
      <c r="N128" s="47"/>
      <c r="O128" s="46"/>
    </row>
    <row r="129" spans="5:15" x14ac:dyDescent="0.2">
      <c r="E129" s="1"/>
      <c r="F129" s="1"/>
      <c r="G129" s="1"/>
      <c r="H129" s="1"/>
      <c r="M129" s="46"/>
      <c r="N129" s="47"/>
      <c r="O129" s="46"/>
    </row>
    <row r="130" spans="5:15" x14ac:dyDescent="0.2">
      <c r="E130" s="1"/>
      <c r="F130" s="1"/>
      <c r="G130" s="1"/>
      <c r="H130" s="1"/>
      <c r="M130" s="46"/>
      <c r="N130" s="47"/>
      <c r="O130" s="46"/>
    </row>
    <row r="131" spans="5:15" x14ac:dyDescent="0.2">
      <c r="E131" s="1"/>
      <c r="F131" s="1"/>
      <c r="G131" s="1"/>
      <c r="H131" s="1"/>
      <c r="M131" s="46"/>
      <c r="N131" s="47"/>
      <c r="O131" s="46"/>
    </row>
    <row r="132" spans="5:15" x14ac:dyDescent="0.2">
      <c r="E132" s="1"/>
      <c r="F132" s="1"/>
      <c r="G132" s="1"/>
      <c r="H132" s="1"/>
      <c r="M132" s="46"/>
      <c r="N132" s="47"/>
      <c r="O132" s="46"/>
    </row>
    <row r="133" spans="5:15" x14ac:dyDescent="0.2">
      <c r="E133" s="1"/>
      <c r="F133" s="1"/>
      <c r="G133" s="1"/>
      <c r="H133" s="1"/>
      <c r="M133" s="46"/>
      <c r="N133" s="47"/>
      <c r="O133" s="46"/>
    </row>
    <row r="134" spans="5:15" x14ac:dyDescent="0.2">
      <c r="E134" s="1"/>
      <c r="F134" s="1"/>
      <c r="G134" s="1"/>
      <c r="H134" s="1"/>
      <c r="M134" s="46"/>
      <c r="N134" s="47"/>
      <c r="O134" s="46"/>
    </row>
    <row r="135" spans="5:15" x14ac:dyDescent="0.2">
      <c r="E135" s="1"/>
      <c r="F135" s="1"/>
      <c r="G135" s="1"/>
      <c r="H135" s="1"/>
      <c r="M135" s="46"/>
      <c r="N135" s="47"/>
      <c r="O135" s="46"/>
    </row>
    <row r="136" spans="5:15" x14ac:dyDescent="0.2">
      <c r="E136" s="1"/>
      <c r="F136" s="1"/>
      <c r="G136" s="1"/>
      <c r="H136" s="1"/>
      <c r="M136" s="46"/>
      <c r="N136" s="47"/>
      <c r="O136" s="46"/>
    </row>
    <row r="137" spans="5:15" x14ac:dyDescent="0.2">
      <c r="E137" s="1"/>
      <c r="F137" s="1"/>
      <c r="G137" s="1"/>
      <c r="H137" s="1"/>
      <c r="M137" s="46"/>
      <c r="N137" s="47"/>
      <c r="O137" s="46"/>
    </row>
    <row r="138" spans="5:15" x14ac:dyDescent="0.2">
      <c r="E138" s="1"/>
      <c r="F138" s="1"/>
      <c r="G138" s="1"/>
      <c r="H138" s="1"/>
      <c r="M138" s="46"/>
      <c r="N138" s="47"/>
      <c r="O138" s="46"/>
    </row>
    <row r="139" spans="5:15" x14ac:dyDescent="0.2">
      <c r="E139" s="1"/>
      <c r="F139" s="1"/>
      <c r="G139" s="1"/>
      <c r="H139" s="1"/>
      <c r="M139" s="46"/>
      <c r="N139" s="47"/>
      <c r="O139" s="46"/>
    </row>
    <row r="140" spans="5:15" x14ac:dyDescent="0.2">
      <c r="E140" s="1"/>
      <c r="F140" s="1"/>
      <c r="G140" s="1"/>
      <c r="H140" s="1"/>
      <c r="M140" s="46"/>
      <c r="N140" s="47"/>
      <c r="O140" s="46"/>
    </row>
    <row r="141" spans="5:15" x14ac:dyDescent="0.2">
      <c r="E141" s="1"/>
      <c r="F141" s="1"/>
      <c r="G141" s="1"/>
      <c r="H141" s="1"/>
      <c r="M141" s="46"/>
      <c r="N141" s="47"/>
      <c r="O141" s="46"/>
    </row>
    <row r="142" spans="5:15" x14ac:dyDescent="0.2">
      <c r="E142" s="1"/>
      <c r="F142" s="1"/>
      <c r="G142" s="1"/>
      <c r="H142" s="1"/>
    </row>
    <row r="143" spans="5:15" x14ac:dyDescent="0.2">
      <c r="E143" s="1"/>
      <c r="F143" s="1"/>
      <c r="G143" s="1"/>
      <c r="H143" s="1"/>
    </row>
    <row r="144" spans="5:15" x14ac:dyDescent="0.2">
      <c r="E144" s="1"/>
      <c r="F144" s="1"/>
      <c r="G144" s="1"/>
      <c r="H144" s="1"/>
    </row>
    <row r="145" spans="5:8" x14ac:dyDescent="0.2">
      <c r="E145" s="1"/>
      <c r="F145" s="1"/>
      <c r="G145" s="1"/>
      <c r="H145" s="1"/>
    </row>
    <row r="146" spans="5:8" x14ac:dyDescent="0.2">
      <c r="E146" s="1"/>
      <c r="F146" s="1"/>
      <c r="G146" s="1"/>
      <c r="H146" s="1"/>
    </row>
    <row r="147" spans="5:8" x14ac:dyDescent="0.2">
      <c r="E147" s="1"/>
      <c r="F147" s="1"/>
      <c r="G147" s="1"/>
      <c r="H147" s="1"/>
    </row>
    <row r="148" spans="5:8" x14ac:dyDescent="0.2">
      <c r="E148" s="1"/>
      <c r="F148" s="1"/>
      <c r="G148" s="1"/>
      <c r="H148" s="1"/>
    </row>
    <row r="149" spans="5:8" x14ac:dyDescent="0.2">
      <c r="E149" s="1"/>
      <c r="F149" s="1"/>
      <c r="G149" s="1"/>
      <c r="H149" s="1"/>
    </row>
    <row r="150" spans="5:8" x14ac:dyDescent="0.2">
      <c r="E150" s="1"/>
      <c r="F150" s="1"/>
      <c r="G150" s="1"/>
      <c r="H150" s="1"/>
    </row>
    <row r="151" spans="5:8" x14ac:dyDescent="0.2">
      <c r="E151" s="1"/>
      <c r="F151" s="1"/>
      <c r="G151" s="1"/>
      <c r="H151" s="1"/>
    </row>
    <row r="152" spans="5:8" x14ac:dyDescent="0.2">
      <c r="E152" s="1"/>
      <c r="F152" s="1"/>
      <c r="G152" s="1"/>
      <c r="H152" s="1"/>
    </row>
    <row r="153" spans="5:8" x14ac:dyDescent="0.2">
      <c r="E153" s="1"/>
      <c r="F153" s="1"/>
      <c r="G153" s="1"/>
      <c r="H153" s="1"/>
    </row>
    <row r="154" spans="5:8" x14ac:dyDescent="0.2">
      <c r="E154" s="1"/>
      <c r="F154" s="1"/>
      <c r="G154" s="1"/>
      <c r="H154" s="1"/>
    </row>
    <row r="155" spans="5:8" x14ac:dyDescent="0.2">
      <c r="E155" s="1"/>
      <c r="F155" s="1"/>
      <c r="G155" s="1"/>
      <c r="H155" s="1"/>
    </row>
    <row r="156" spans="5:8" x14ac:dyDescent="0.2">
      <c r="E156" s="1"/>
      <c r="F156" s="1"/>
      <c r="G156" s="1"/>
      <c r="H156" s="1"/>
    </row>
    <row r="157" spans="5:8" x14ac:dyDescent="0.2">
      <c r="E157" s="1"/>
      <c r="F157" s="1"/>
      <c r="G157" s="1"/>
      <c r="H157" s="1"/>
    </row>
    <row r="158" spans="5:8" x14ac:dyDescent="0.2">
      <c r="E158" s="1"/>
      <c r="F158" s="1"/>
      <c r="G158" s="1"/>
      <c r="H158" s="1"/>
    </row>
    <row r="159" spans="5:8" x14ac:dyDescent="0.2">
      <c r="E159" s="1"/>
      <c r="F159" s="1"/>
      <c r="G159" s="1"/>
      <c r="H159" s="1"/>
    </row>
    <row r="160" spans="5:8" x14ac:dyDescent="0.2">
      <c r="E160" s="1"/>
      <c r="F160" s="1"/>
      <c r="G160" s="1"/>
      <c r="H160" s="1"/>
    </row>
    <row r="161" spans="5:8" x14ac:dyDescent="0.2">
      <c r="E161" s="1"/>
      <c r="F161" s="1"/>
      <c r="G161" s="1"/>
      <c r="H161" s="1"/>
    </row>
    <row r="162" spans="5:8" x14ac:dyDescent="0.2">
      <c r="E162" s="1"/>
      <c r="F162" s="1"/>
      <c r="G162" s="1"/>
      <c r="H162" s="1"/>
    </row>
    <row r="163" spans="5:8" x14ac:dyDescent="0.2">
      <c r="E163" s="1"/>
      <c r="F163" s="1"/>
      <c r="G163" s="1"/>
      <c r="H163" s="1"/>
    </row>
    <row r="164" spans="5:8" x14ac:dyDescent="0.2">
      <c r="E164" s="1"/>
      <c r="F164" s="1"/>
      <c r="G164" s="1"/>
      <c r="H164" s="1"/>
    </row>
    <row r="165" spans="5:8" x14ac:dyDescent="0.2">
      <c r="E165" s="1"/>
      <c r="F165" s="1"/>
      <c r="G165" s="1"/>
      <c r="H165" s="1"/>
    </row>
    <row r="166" spans="5:8" x14ac:dyDescent="0.2">
      <c r="E166" s="1"/>
      <c r="F166" s="1"/>
      <c r="G166" s="1"/>
      <c r="H166" s="1"/>
    </row>
    <row r="167" spans="5:8" x14ac:dyDescent="0.2">
      <c r="E167" s="1"/>
      <c r="F167" s="1"/>
      <c r="G167" s="1"/>
      <c r="H167" s="1"/>
    </row>
    <row r="168" spans="5:8" x14ac:dyDescent="0.2">
      <c r="E168" s="1"/>
      <c r="F168" s="1"/>
      <c r="G168" s="1"/>
      <c r="H168" s="1"/>
    </row>
    <row r="169" spans="5:8" x14ac:dyDescent="0.2">
      <c r="E169" s="1"/>
      <c r="F169" s="1"/>
      <c r="G169" s="1"/>
      <c r="H169" s="1"/>
    </row>
    <row r="170" spans="5:8" x14ac:dyDescent="0.2">
      <c r="E170" s="1"/>
      <c r="F170" s="1"/>
      <c r="G170" s="1"/>
      <c r="H170" s="1"/>
    </row>
    <row r="171" spans="5:8" x14ac:dyDescent="0.2">
      <c r="E171" s="1"/>
      <c r="F171" s="1"/>
      <c r="G171" s="1"/>
      <c r="H171" s="1"/>
    </row>
    <row r="172" spans="5:8" x14ac:dyDescent="0.2">
      <c r="E172" s="1"/>
      <c r="F172" s="1"/>
      <c r="G172" s="1"/>
      <c r="H172" s="1"/>
    </row>
    <row r="173" spans="5:8" x14ac:dyDescent="0.2">
      <c r="E173" s="1"/>
      <c r="F173" s="1"/>
      <c r="G173" s="1"/>
      <c r="H173" s="1"/>
    </row>
    <row r="174" spans="5:8" x14ac:dyDescent="0.2">
      <c r="E174" s="1"/>
      <c r="F174" s="1"/>
      <c r="G174" s="1"/>
      <c r="H174" s="1"/>
    </row>
    <row r="175" spans="5:8" x14ac:dyDescent="0.2">
      <c r="E175" s="1"/>
      <c r="F175" s="1"/>
      <c r="G175" s="1"/>
      <c r="H175" s="1"/>
    </row>
    <row r="176" spans="5:8" x14ac:dyDescent="0.2">
      <c r="E176" s="1"/>
      <c r="F176" s="1"/>
      <c r="G176" s="1"/>
      <c r="H176" s="1"/>
    </row>
    <row r="177" spans="5:8" x14ac:dyDescent="0.2">
      <c r="E177" s="1"/>
      <c r="F177" s="1"/>
      <c r="G177" s="1"/>
      <c r="H177" s="1"/>
    </row>
    <row r="178" spans="5:8" x14ac:dyDescent="0.2">
      <c r="E178" s="1"/>
      <c r="F178" s="1"/>
      <c r="G178" s="1"/>
      <c r="H178" s="1"/>
    </row>
    <row r="179" spans="5:8" x14ac:dyDescent="0.2">
      <c r="E179" s="1"/>
      <c r="F179" s="1"/>
      <c r="G179" s="1"/>
      <c r="H179" s="1"/>
    </row>
    <row r="180" spans="5:8" x14ac:dyDescent="0.2">
      <c r="E180" s="1"/>
      <c r="F180" s="1"/>
      <c r="G180" s="1"/>
      <c r="H180" s="1"/>
    </row>
    <row r="181" spans="5:8" x14ac:dyDescent="0.2">
      <c r="E181" s="1"/>
      <c r="F181" s="1"/>
      <c r="G181" s="1"/>
      <c r="H181" s="1"/>
    </row>
    <row r="182" spans="5:8" x14ac:dyDescent="0.2">
      <c r="E182" s="1"/>
      <c r="F182" s="1"/>
      <c r="G182" s="1"/>
      <c r="H182" s="1"/>
    </row>
    <row r="183" spans="5:8" x14ac:dyDescent="0.2">
      <c r="E183" s="1"/>
      <c r="F183" s="1"/>
      <c r="G183" s="1"/>
      <c r="H183" s="1"/>
    </row>
  </sheetData>
  <autoFilter ref="A3:O68"/>
  <mergeCells count="2">
    <mergeCell ref="M1:N1"/>
    <mergeCell ref="E1:H1"/>
  </mergeCells>
  <phoneticPr fontId="2" type="noConversion"/>
  <conditionalFormatting sqref="A38:A68 A6:A34">
    <cfRule type="cellIs" dxfId="96" priority="7" stopIfTrue="1" operator="equal">
      <formula>A5</formula>
    </cfRule>
  </conditionalFormatting>
  <conditionalFormatting sqref="O9 N4:N68">
    <cfRule type="cellIs" dxfId="95" priority="8" stopIfTrue="1" operator="equal">
      <formula>0</formula>
    </cfRule>
  </conditionalFormatting>
  <conditionalFormatting sqref="A35:A68">
    <cfRule type="cellIs" dxfId="94" priority="5" stopIfTrue="1" operator="equal">
      <formula>A34</formula>
    </cfRule>
  </conditionalFormatting>
  <conditionalFormatting sqref="A4">
    <cfRule type="cellIs" dxfId="93" priority="9" stopIfTrue="1" operator="equal">
      <formula>A3</formula>
    </cfRule>
  </conditionalFormatting>
  <conditionalFormatting sqref="A4:A5">
    <cfRule type="cellIs" dxfId="92" priority="1" stopIfTrue="1" operator="equal">
      <formula>#REF!</formula>
    </cfRule>
  </conditionalFormatting>
  <conditionalFormatting sqref="A37">
    <cfRule type="cellIs" dxfId="91" priority="11" stopIfTrue="1" operator="equal">
      <formula>A4</formula>
    </cfRule>
  </conditionalFormatting>
  <pageMargins left="0" right="0" top="0.98425196850393704" bottom="0.98425196850393704" header="0.51181102362204722" footer="0.51181102362204722"/>
  <pageSetup paperSize="9" scale="50" orientation="portrait" horizontalDpi="300" verticalDpi="300" r:id="rId1"/>
  <headerFooter alignWithMargins="0">
    <oddHeader>&amp;RPříloha č. 1_Souhrn změn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28"/>
  <sheetViews>
    <sheetView topLeftCell="A2" zoomScale="90" zoomScaleNormal="90" zoomScaleSheetLayoutView="90" workbookViewId="0">
      <selection activeCell="K20" sqref="K20"/>
    </sheetView>
  </sheetViews>
  <sheetFormatPr defaultRowHeight="12.75" x14ac:dyDescent="0.2"/>
  <cols>
    <col min="1" max="1" width="5" style="1" customWidth="1"/>
    <col min="2" max="2" width="13.28515625" style="1" customWidth="1"/>
    <col min="3" max="3" width="13.5703125" style="1" customWidth="1"/>
    <col min="4" max="4" width="12.42578125" style="1" customWidth="1"/>
    <col min="5" max="8" width="5.7109375" customWidth="1"/>
    <col min="9" max="9" width="10" style="2" customWidth="1"/>
    <col min="10" max="10" width="49.7109375" style="1" customWidth="1"/>
    <col min="11" max="11" width="9.7109375" style="1" customWidth="1"/>
    <col min="12" max="12" width="10.5703125" style="1" customWidth="1"/>
    <col min="13" max="13" width="8.85546875" style="1" customWidth="1"/>
    <col min="14" max="14" width="10.42578125" style="1" customWidth="1"/>
    <col min="15" max="15" width="11.42578125" style="1" customWidth="1"/>
    <col min="16" max="16" width="4.42578125" style="1" customWidth="1"/>
    <col min="17" max="21" width="9.140625" style="1"/>
    <col min="22" max="22" width="10.42578125" style="1" customWidth="1"/>
    <col min="23" max="27" width="9.140625" style="1"/>
    <col min="28" max="28" width="10.140625" style="1" bestFit="1" customWidth="1"/>
    <col min="29" max="49" width="9.140625" style="1"/>
    <col min="50" max="50" width="10.140625" style="1" bestFit="1" customWidth="1"/>
    <col min="51" max="51" width="10.140625" style="1" customWidth="1"/>
    <col min="52" max="52" width="11.42578125" style="1" bestFit="1" customWidth="1"/>
    <col min="53" max="53" width="9.140625" style="1"/>
    <col min="54" max="54" width="12.28515625" style="1" bestFit="1" customWidth="1"/>
    <col min="55" max="16384" width="9.140625" style="1"/>
  </cols>
  <sheetData>
    <row r="1" spans="1:82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10"/>
      <c r="AW1" s="9"/>
      <c r="AX1" s="9"/>
      <c r="AY1" s="9"/>
      <c r="AZ1" s="9"/>
      <c r="BA1" s="9"/>
      <c r="BB1" s="9"/>
    </row>
    <row r="2" spans="1:82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82" s="3" customFormat="1" ht="13.5" thickBot="1" x14ac:dyDescent="0.25">
      <c r="A3" s="54"/>
      <c r="B3" s="55"/>
      <c r="C3" s="55" t="s">
        <v>220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s="3" customFormat="1" ht="25.5" x14ac:dyDescent="0.2">
      <c r="A4" s="39">
        <f>IF(B4="","",1)</f>
        <v>1</v>
      </c>
      <c r="B4" s="122" t="s">
        <v>812</v>
      </c>
      <c r="C4" s="123" t="s">
        <v>813</v>
      </c>
      <c r="D4" s="82"/>
      <c r="E4" s="63">
        <v>138</v>
      </c>
      <c r="F4" s="64">
        <v>139</v>
      </c>
      <c r="G4" s="64">
        <v>140</v>
      </c>
      <c r="H4" s="64">
        <v>141</v>
      </c>
      <c r="I4" s="41" t="s">
        <v>93</v>
      </c>
      <c r="J4" s="121" t="s">
        <v>817</v>
      </c>
      <c r="K4" s="67" t="s">
        <v>156</v>
      </c>
      <c r="L4" s="83"/>
      <c r="M4" s="40"/>
      <c r="N4" s="42"/>
      <c r="O4" s="68" t="s">
        <v>33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82" s="3" customFormat="1" x14ac:dyDescent="0.2">
      <c r="A5" s="23">
        <f t="shared" ref="A5:A39" si="0">IF(B5="",A4,A4+1)</f>
        <v>2</v>
      </c>
      <c r="B5" s="107" t="s">
        <v>812</v>
      </c>
      <c r="C5" s="118" t="s">
        <v>813</v>
      </c>
      <c r="D5" s="38"/>
      <c r="E5" s="60">
        <v>138</v>
      </c>
      <c r="F5" s="61">
        <v>139</v>
      </c>
      <c r="G5" s="61">
        <v>140</v>
      </c>
      <c r="H5" s="61">
        <v>141</v>
      </c>
      <c r="I5" s="27" t="s">
        <v>153</v>
      </c>
      <c r="J5" s="105" t="s">
        <v>795</v>
      </c>
      <c r="K5" s="31" t="s">
        <v>156</v>
      </c>
      <c r="L5" s="30"/>
      <c r="M5" s="24"/>
      <c r="N5" s="29"/>
      <c r="O5" s="2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 s="3" customFormat="1" x14ac:dyDescent="0.2">
      <c r="A6" s="23">
        <f t="shared" si="0"/>
        <v>3</v>
      </c>
      <c r="B6" s="107" t="s">
        <v>814</v>
      </c>
      <c r="C6" s="118" t="s">
        <v>813</v>
      </c>
      <c r="D6" s="108" t="s">
        <v>815</v>
      </c>
      <c r="E6" s="60">
        <v>55</v>
      </c>
      <c r="F6" s="61">
        <v>55</v>
      </c>
      <c r="G6" s="61">
        <v>56</v>
      </c>
      <c r="H6" s="61">
        <v>56</v>
      </c>
      <c r="I6" s="27" t="s">
        <v>93</v>
      </c>
      <c r="J6" s="105" t="s">
        <v>816</v>
      </c>
      <c r="K6" s="31" t="s">
        <v>157</v>
      </c>
      <c r="L6" s="30" t="s">
        <v>158</v>
      </c>
      <c r="M6" s="24"/>
      <c r="N6" s="29">
        <v>0.42299999999999999</v>
      </c>
      <c r="O6" s="25">
        <f>N6*1000/H6</f>
        <v>7.5535714285714288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82" s="3" customFormat="1" x14ac:dyDescent="0.2">
      <c r="A7" s="23">
        <f t="shared" si="0"/>
        <v>4</v>
      </c>
      <c r="B7" s="37" t="s">
        <v>173</v>
      </c>
      <c r="C7" s="38" t="s">
        <v>204</v>
      </c>
      <c r="D7" s="38"/>
      <c r="E7" s="60">
        <v>412</v>
      </c>
      <c r="F7" s="61">
        <v>371</v>
      </c>
      <c r="G7" s="61">
        <v>319</v>
      </c>
      <c r="H7" s="61">
        <v>268</v>
      </c>
      <c r="I7" s="106" t="s">
        <v>93</v>
      </c>
      <c r="J7" s="105" t="s">
        <v>414</v>
      </c>
      <c r="K7" s="31" t="s">
        <v>157</v>
      </c>
      <c r="L7" s="30" t="s">
        <v>224</v>
      </c>
      <c r="M7" s="24"/>
      <c r="N7" s="29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82" s="3" customFormat="1" x14ac:dyDescent="0.2">
      <c r="A8" s="23">
        <f t="shared" si="0"/>
        <v>5</v>
      </c>
      <c r="B8" s="37" t="s">
        <v>173</v>
      </c>
      <c r="C8" s="38" t="s">
        <v>204</v>
      </c>
      <c r="D8" s="38"/>
      <c r="E8" s="60">
        <v>412</v>
      </c>
      <c r="F8" s="61">
        <v>371</v>
      </c>
      <c r="G8" s="61">
        <v>319</v>
      </c>
      <c r="H8" s="61">
        <v>268</v>
      </c>
      <c r="I8" s="106" t="s">
        <v>153</v>
      </c>
      <c r="J8" s="105" t="s">
        <v>477</v>
      </c>
      <c r="K8" s="31" t="s">
        <v>157</v>
      </c>
      <c r="L8" s="30" t="s">
        <v>224</v>
      </c>
      <c r="M8" s="24"/>
      <c r="N8" s="29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82" s="3" customFormat="1" x14ac:dyDescent="0.2">
      <c r="A9" s="23">
        <f t="shared" si="0"/>
        <v>6</v>
      </c>
      <c r="B9" s="107" t="s">
        <v>818</v>
      </c>
      <c r="C9" s="108" t="s">
        <v>155</v>
      </c>
      <c r="D9" s="38"/>
      <c r="E9" s="60">
        <v>390</v>
      </c>
      <c r="F9" s="61">
        <v>406</v>
      </c>
      <c r="G9" s="61">
        <v>426</v>
      </c>
      <c r="H9" s="61">
        <v>964</v>
      </c>
      <c r="I9" s="106" t="s">
        <v>93</v>
      </c>
      <c r="J9" s="105" t="s">
        <v>30</v>
      </c>
      <c r="K9" s="31" t="s">
        <v>156</v>
      </c>
      <c r="L9" s="30"/>
      <c r="M9" s="24"/>
      <c r="N9" s="29"/>
      <c r="O9" s="2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82" s="3" customFormat="1" x14ac:dyDescent="0.2">
      <c r="A10" s="23">
        <f t="shared" si="0"/>
        <v>7</v>
      </c>
      <c r="B10" s="107" t="s">
        <v>818</v>
      </c>
      <c r="C10" s="108" t="s">
        <v>155</v>
      </c>
      <c r="D10" s="38"/>
      <c r="E10" s="60">
        <v>390</v>
      </c>
      <c r="F10" s="61">
        <v>406</v>
      </c>
      <c r="G10" s="61">
        <v>426</v>
      </c>
      <c r="H10" s="61">
        <v>964</v>
      </c>
      <c r="I10" s="106" t="s">
        <v>153</v>
      </c>
      <c r="J10" s="105" t="s">
        <v>819</v>
      </c>
      <c r="K10" s="31" t="s">
        <v>157</v>
      </c>
      <c r="L10" s="30" t="s">
        <v>158</v>
      </c>
      <c r="M10" s="24"/>
      <c r="N10" s="29">
        <v>12</v>
      </c>
      <c r="O10" s="25">
        <f>N10*1000/H10</f>
        <v>12.448132780082988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</row>
    <row r="11" spans="1:82" s="3" customFormat="1" ht="25.5" x14ac:dyDescent="0.2">
      <c r="A11" s="23">
        <f t="shared" si="0"/>
        <v>8</v>
      </c>
      <c r="B11" s="107" t="s">
        <v>820</v>
      </c>
      <c r="C11" s="108" t="s">
        <v>155</v>
      </c>
      <c r="D11" s="108" t="s">
        <v>821</v>
      </c>
      <c r="E11" s="60">
        <v>24</v>
      </c>
      <c r="F11" s="61">
        <v>22</v>
      </c>
      <c r="G11" s="61">
        <v>19</v>
      </c>
      <c r="H11" s="61">
        <v>16</v>
      </c>
      <c r="I11" s="106" t="s">
        <v>93</v>
      </c>
      <c r="J11" s="105" t="s">
        <v>822</v>
      </c>
      <c r="K11" s="31" t="s">
        <v>157</v>
      </c>
      <c r="L11" s="30" t="s">
        <v>224</v>
      </c>
      <c r="M11" s="24"/>
      <c r="N11" s="29">
        <v>3</v>
      </c>
      <c r="O11" s="25">
        <f>N11*1000/H11</f>
        <v>187.5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</row>
    <row r="12" spans="1:82" s="3" customFormat="1" x14ac:dyDescent="0.2">
      <c r="A12" s="23">
        <f t="shared" si="0"/>
        <v>9</v>
      </c>
      <c r="B12" s="107" t="s">
        <v>820</v>
      </c>
      <c r="C12" s="108" t="s">
        <v>155</v>
      </c>
      <c r="D12" s="108" t="s">
        <v>821</v>
      </c>
      <c r="E12" s="60">
        <v>24</v>
      </c>
      <c r="F12" s="61">
        <v>22</v>
      </c>
      <c r="G12" s="61">
        <v>19</v>
      </c>
      <c r="H12" s="61">
        <v>16</v>
      </c>
      <c r="I12" s="106" t="s">
        <v>153</v>
      </c>
      <c r="J12" s="105" t="s">
        <v>732</v>
      </c>
      <c r="K12" s="31" t="s">
        <v>157</v>
      </c>
      <c r="L12" s="30" t="s">
        <v>158</v>
      </c>
      <c r="M12" s="24"/>
      <c r="N12" s="29"/>
      <c r="O12" s="2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</row>
    <row r="13" spans="1:82" ht="25.5" x14ac:dyDescent="0.2">
      <c r="A13" s="23">
        <f t="shared" si="0"/>
        <v>10</v>
      </c>
      <c r="B13" s="107" t="s">
        <v>823</v>
      </c>
      <c r="C13" s="108" t="s">
        <v>155</v>
      </c>
      <c r="D13" s="108" t="s">
        <v>824</v>
      </c>
      <c r="E13" s="60">
        <v>20</v>
      </c>
      <c r="F13" s="61">
        <v>18</v>
      </c>
      <c r="G13" s="61">
        <v>16</v>
      </c>
      <c r="H13" s="61">
        <v>14</v>
      </c>
      <c r="I13" s="106" t="s">
        <v>93</v>
      </c>
      <c r="J13" s="105" t="s">
        <v>825</v>
      </c>
      <c r="K13" s="31" t="s">
        <v>157</v>
      </c>
      <c r="L13" s="30" t="s">
        <v>224</v>
      </c>
      <c r="M13" s="24"/>
      <c r="N13" s="29">
        <v>1.5</v>
      </c>
      <c r="O13" s="25">
        <f>N13*1000/H13</f>
        <v>107.14285714285714</v>
      </c>
    </row>
    <row r="14" spans="1:82" x14ac:dyDescent="0.2">
      <c r="A14" s="23">
        <f t="shared" si="0"/>
        <v>11</v>
      </c>
      <c r="B14" s="107" t="s">
        <v>823</v>
      </c>
      <c r="C14" s="108" t="s">
        <v>155</v>
      </c>
      <c r="D14" s="108" t="s">
        <v>824</v>
      </c>
      <c r="E14" s="60">
        <v>20</v>
      </c>
      <c r="F14" s="61">
        <v>18</v>
      </c>
      <c r="G14" s="61">
        <v>16</v>
      </c>
      <c r="H14" s="61">
        <v>14</v>
      </c>
      <c r="I14" s="106" t="s">
        <v>153</v>
      </c>
      <c r="J14" s="105" t="s">
        <v>732</v>
      </c>
      <c r="K14" s="31" t="s">
        <v>157</v>
      </c>
      <c r="L14" s="30" t="s">
        <v>158</v>
      </c>
      <c r="M14" s="24"/>
      <c r="N14" s="29"/>
      <c r="O14" s="25"/>
    </row>
    <row r="15" spans="1:82" ht="25.5" x14ac:dyDescent="0.2">
      <c r="A15" s="23">
        <f t="shared" si="0"/>
        <v>12</v>
      </c>
      <c r="B15" s="107" t="s">
        <v>826</v>
      </c>
      <c r="C15" s="108" t="s">
        <v>155</v>
      </c>
      <c r="D15" s="108" t="s">
        <v>827</v>
      </c>
      <c r="E15" s="60">
        <v>59</v>
      </c>
      <c r="F15" s="61">
        <v>63</v>
      </c>
      <c r="G15" s="61">
        <v>67</v>
      </c>
      <c r="H15" s="61">
        <v>72</v>
      </c>
      <c r="I15" s="106" t="s">
        <v>93</v>
      </c>
      <c r="J15" s="105" t="s">
        <v>828</v>
      </c>
      <c r="K15" s="31" t="s">
        <v>157</v>
      </c>
      <c r="L15" s="30" t="s">
        <v>224</v>
      </c>
      <c r="M15" s="24"/>
      <c r="N15" s="29">
        <v>2.5</v>
      </c>
      <c r="O15" s="25">
        <f>N15*1000/H15</f>
        <v>34.722222222222221</v>
      </c>
    </row>
    <row r="16" spans="1:82" ht="25.5" x14ac:dyDescent="0.2">
      <c r="A16" s="23">
        <f t="shared" si="0"/>
        <v>13</v>
      </c>
      <c r="B16" s="107" t="s">
        <v>826</v>
      </c>
      <c r="C16" s="108" t="s">
        <v>155</v>
      </c>
      <c r="D16" s="108" t="s">
        <v>827</v>
      </c>
      <c r="E16" s="60">
        <v>59</v>
      </c>
      <c r="F16" s="61">
        <v>63</v>
      </c>
      <c r="G16" s="61">
        <v>67</v>
      </c>
      <c r="H16" s="61">
        <v>72</v>
      </c>
      <c r="I16" s="106" t="s">
        <v>153</v>
      </c>
      <c r="J16" s="105" t="s">
        <v>732</v>
      </c>
      <c r="K16" s="31" t="s">
        <v>157</v>
      </c>
      <c r="L16" s="30" t="s">
        <v>158</v>
      </c>
      <c r="M16" s="24"/>
      <c r="N16" s="29"/>
      <c r="O16" s="25"/>
    </row>
    <row r="17" spans="1:15" ht="38.25" x14ac:dyDescent="0.2">
      <c r="A17" s="23">
        <f t="shared" si="0"/>
        <v>14</v>
      </c>
      <c r="B17" s="107" t="s">
        <v>26</v>
      </c>
      <c r="C17" s="108" t="s">
        <v>155</v>
      </c>
      <c r="D17" s="108" t="s">
        <v>829</v>
      </c>
      <c r="E17" s="60">
        <v>88</v>
      </c>
      <c r="F17" s="61">
        <v>84</v>
      </c>
      <c r="G17" s="61">
        <v>78</v>
      </c>
      <c r="H17" s="61">
        <v>73</v>
      </c>
      <c r="I17" s="106" t="s">
        <v>153</v>
      </c>
      <c r="J17" s="105" t="s">
        <v>848</v>
      </c>
      <c r="K17" s="31" t="s">
        <v>157</v>
      </c>
      <c r="L17" s="30" t="s">
        <v>158</v>
      </c>
      <c r="M17" s="24"/>
      <c r="N17" s="29">
        <v>3.5</v>
      </c>
      <c r="O17" s="25">
        <f>N17*1000/H17</f>
        <v>47.945205479452056</v>
      </c>
    </row>
    <row r="18" spans="1:15" x14ac:dyDescent="0.2">
      <c r="A18" s="23">
        <f t="shared" si="0"/>
        <v>15</v>
      </c>
      <c r="B18" s="37" t="s">
        <v>201</v>
      </c>
      <c r="C18" s="38" t="s">
        <v>202</v>
      </c>
      <c r="D18" s="38"/>
      <c r="E18" s="60">
        <v>1213</v>
      </c>
      <c r="F18" s="61">
        <v>1231</v>
      </c>
      <c r="G18" s="61">
        <v>1253</v>
      </c>
      <c r="H18" s="61">
        <v>1275</v>
      </c>
      <c r="I18" s="106" t="s">
        <v>93</v>
      </c>
      <c r="J18" s="105" t="s">
        <v>796</v>
      </c>
      <c r="K18" s="31" t="s">
        <v>156</v>
      </c>
      <c r="L18" s="30"/>
      <c r="M18" s="24"/>
      <c r="N18" s="29">
        <v>2.8</v>
      </c>
      <c r="O18" s="25">
        <f>N18*1000/H18</f>
        <v>2.1960784313725492</v>
      </c>
    </row>
    <row r="19" spans="1:15" ht="25.5" x14ac:dyDescent="0.2">
      <c r="A19" s="23">
        <f t="shared" si="0"/>
        <v>16</v>
      </c>
      <c r="B19" s="37" t="s">
        <v>201</v>
      </c>
      <c r="C19" s="38" t="s">
        <v>202</v>
      </c>
      <c r="D19" s="38"/>
      <c r="E19" s="60">
        <v>1213</v>
      </c>
      <c r="F19" s="61">
        <v>1231</v>
      </c>
      <c r="G19" s="61">
        <v>1253</v>
      </c>
      <c r="H19" s="61">
        <v>1275</v>
      </c>
      <c r="I19" s="106" t="s">
        <v>153</v>
      </c>
      <c r="J19" s="105" t="s">
        <v>849</v>
      </c>
      <c r="K19" s="31" t="s">
        <v>157</v>
      </c>
      <c r="L19" s="30" t="s">
        <v>158</v>
      </c>
      <c r="M19" s="24"/>
      <c r="N19" s="29">
        <v>2.8</v>
      </c>
      <c r="O19" s="25">
        <f>N19*1000/H19</f>
        <v>2.1960784313725492</v>
      </c>
    </row>
    <row r="20" spans="1:15" ht="38.25" x14ac:dyDescent="0.2">
      <c r="A20" s="23">
        <f t="shared" si="0"/>
        <v>17</v>
      </c>
      <c r="B20" s="37" t="s">
        <v>27</v>
      </c>
      <c r="C20" s="38" t="s">
        <v>202</v>
      </c>
      <c r="D20" s="38" t="s">
        <v>170</v>
      </c>
      <c r="E20" s="60">
        <v>2</v>
      </c>
      <c r="F20" s="61">
        <v>2</v>
      </c>
      <c r="G20" s="61">
        <v>2</v>
      </c>
      <c r="H20" s="61">
        <v>1</v>
      </c>
      <c r="I20" s="106" t="s">
        <v>93</v>
      </c>
      <c r="J20" s="44" t="s">
        <v>830</v>
      </c>
      <c r="K20" s="31" t="s">
        <v>157</v>
      </c>
      <c r="L20" s="30" t="s">
        <v>158</v>
      </c>
      <c r="M20" s="24"/>
      <c r="N20" s="29">
        <v>7.4999999999999997E-2</v>
      </c>
      <c r="O20" s="25">
        <f>N20*1000/H20</f>
        <v>75</v>
      </c>
    </row>
    <row r="21" spans="1:15" ht="38.25" x14ac:dyDescent="0.2">
      <c r="A21" s="23">
        <f t="shared" si="0"/>
        <v>18</v>
      </c>
      <c r="B21" s="37" t="s">
        <v>27</v>
      </c>
      <c r="C21" s="38" t="s">
        <v>202</v>
      </c>
      <c r="D21" s="38" t="s">
        <v>170</v>
      </c>
      <c r="E21" s="60">
        <v>2</v>
      </c>
      <c r="F21" s="61">
        <v>2</v>
      </c>
      <c r="G21" s="61">
        <v>2</v>
      </c>
      <c r="H21" s="61">
        <v>1</v>
      </c>
      <c r="I21" s="106" t="s">
        <v>153</v>
      </c>
      <c r="J21" s="105" t="s">
        <v>831</v>
      </c>
      <c r="K21" s="31" t="s">
        <v>157</v>
      </c>
      <c r="L21" s="30" t="s">
        <v>158</v>
      </c>
      <c r="M21" s="24"/>
      <c r="N21" s="29">
        <v>7.4999999999999997E-2</v>
      </c>
      <c r="O21" s="25">
        <f>N21*1000/H21</f>
        <v>75</v>
      </c>
    </row>
    <row r="22" spans="1:15" ht="38.25" x14ac:dyDescent="0.2">
      <c r="A22" s="23">
        <f t="shared" si="0"/>
        <v>19</v>
      </c>
      <c r="B22" s="37" t="s">
        <v>28</v>
      </c>
      <c r="C22" s="38" t="s">
        <v>202</v>
      </c>
      <c r="D22" s="38" t="s">
        <v>171</v>
      </c>
      <c r="E22" s="60">
        <v>83</v>
      </c>
      <c r="F22" s="61">
        <v>78</v>
      </c>
      <c r="G22" s="61">
        <v>71</v>
      </c>
      <c r="H22" s="61">
        <v>64</v>
      </c>
      <c r="I22" s="27" t="s">
        <v>93</v>
      </c>
      <c r="J22" s="105" t="s">
        <v>830</v>
      </c>
      <c r="K22" s="31" t="s">
        <v>157</v>
      </c>
      <c r="L22" s="30" t="s">
        <v>158</v>
      </c>
      <c r="M22" s="24"/>
      <c r="N22" s="29"/>
      <c r="O22" s="25"/>
    </row>
    <row r="23" spans="1:15" ht="25.5" x14ac:dyDescent="0.2">
      <c r="A23" s="23">
        <f t="shared" si="0"/>
        <v>20</v>
      </c>
      <c r="B23" s="107" t="s">
        <v>832</v>
      </c>
      <c r="C23" s="38" t="s">
        <v>34</v>
      </c>
      <c r="D23" s="38"/>
      <c r="E23" s="60"/>
      <c r="F23" s="61"/>
      <c r="G23" s="61"/>
      <c r="H23" s="61"/>
      <c r="I23" s="27" t="s">
        <v>93</v>
      </c>
      <c r="J23" s="105" t="s">
        <v>840</v>
      </c>
      <c r="K23" s="31" t="s">
        <v>157</v>
      </c>
      <c r="L23" s="30" t="s">
        <v>224</v>
      </c>
      <c r="M23" s="24"/>
      <c r="N23" s="29"/>
      <c r="O23" s="25"/>
    </row>
    <row r="24" spans="1:15" x14ac:dyDescent="0.2">
      <c r="A24" s="23">
        <f t="shared" si="0"/>
        <v>21</v>
      </c>
      <c r="B24" s="107" t="s">
        <v>832</v>
      </c>
      <c r="C24" s="38" t="s">
        <v>34</v>
      </c>
      <c r="D24" s="38"/>
      <c r="E24" s="60"/>
      <c r="F24" s="61"/>
      <c r="G24" s="61"/>
      <c r="H24" s="61"/>
      <c r="I24" s="27" t="s">
        <v>153</v>
      </c>
      <c r="J24" s="105" t="s">
        <v>839</v>
      </c>
      <c r="K24" s="31" t="s">
        <v>156</v>
      </c>
      <c r="L24" s="30"/>
      <c r="M24" s="24"/>
      <c r="N24" s="29"/>
      <c r="O24" s="25"/>
    </row>
    <row r="25" spans="1:15" ht="38.25" x14ac:dyDescent="0.2">
      <c r="A25" s="23">
        <f t="shared" si="0"/>
        <v>22</v>
      </c>
      <c r="B25" s="107" t="s">
        <v>836</v>
      </c>
      <c r="C25" s="38" t="s">
        <v>34</v>
      </c>
      <c r="D25" s="108" t="s">
        <v>837</v>
      </c>
      <c r="E25" s="60"/>
      <c r="F25" s="61"/>
      <c r="G25" s="61"/>
      <c r="H25" s="61"/>
      <c r="I25" s="106" t="s">
        <v>93</v>
      </c>
      <c r="J25" s="105" t="s">
        <v>838</v>
      </c>
      <c r="K25" s="31" t="s">
        <v>157</v>
      </c>
      <c r="L25" s="30" t="s">
        <v>158</v>
      </c>
      <c r="M25" s="24"/>
      <c r="N25" s="29"/>
      <c r="O25" s="25"/>
    </row>
    <row r="26" spans="1:15" ht="25.5" x14ac:dyDescent="0.2">
      <c r="A26" s="23">
        <f t="shared" si="0"/>
        <v>23</v>
      </c>
      <c r="B26" s="107" t="s">
        <v>833</v>
      </c>
      <c r="C26" s="38" t="s">
        <v>34</v>
      </c>
      <c r="D26" s="108" t="s">
        <v>834</v>
      </c>
      <c r="E26" s="60"/>
      <c r="F26" s="61"/>
      <c r="G26" s="61"/>
      <c r="H26" s="61"/>
      <c r="I26" s="106" t="s">
        <v>93</v>
      </c>
      <c r="J26" s="105" t="s">
        <v>835</v>
      </c>
      <c r="K26" s="31" t="s">
        <v>157</v>
      </c>
      <c r="L26" s="30" t="s">
        <v>158</v>
      </c>
      <c r="M26" s="24"/>
      <c r="N26" s="29"/>
      <c r="O26" s="25"/>
    </row>
    <row r="27" spans="1:15" ht="25.5" x14ac:dyDescent="0.2">
      <c r="A27" s="23">
        <f t="shared" si="0"/>
        <v>24</v>
      </c>
      <c r="B27" s="107" t="s">
        <v>841</v>
      </c>
      <c r="C27" s="108" t="s">
        <v>842</v>
      </c>
      <c r="D27" s="108"/>
      <c r="E27" s="60">
        <v>152</v>
      </c>
      <c r="F27" s="61">
        <v>150</v>
      </c>
      <c r="G27" s="61">
        <v>147</v>
      </c>
      <c r="H27" s="61">
        <v>144</v>
      </c>
      <c r="I27" s="106" t="s">
        <v>93</v>
      </c>
      <c r="J27" s="105" t="s">
        <v>853</v>
      </c>
      <c r="K27" s="31" t="s">
        <v>156</v>
      </c>
      <c r="L27" s="30"/>
      <c r="M27" s="24"/>
      <c r="N27" s="29"/>
      <c r="O27" s="25"/>
    </row>
    <row r="28" spans="1:15" x14ac:dyDescent="0.2">
      <c r="A28" s="23">
        <f t="shared" si="0"/>
        <v>25</v>
      </c>
      <c r="B28" s="107" t="s">
        <v>841</v>
      </c>
      <c r="C28" s="108" t="s">
        <v>842</v>
      </c>
      <c r="D28" s="38"/>
      <c r="E28" s="60">
        <v>152</v>
      </c>
      <c r="F28" s="61">
        <v>150</v>
      </c>
      <c r="G28" s="61">
        <v>147</v>
      </c>
      <c r="H28" s="61">
        <v>144</v>
      </c>
      <c r="I28" s="106" t="s">
        <v>153</v>
      </c>
      <c r="J28" s="105" t="s">
        <v>852</v>
      </c>
      <c r="K28" s="31" t="s">
        <v>156</v>
      </c>
      <c r="L28" s="30" t="s">
        <v>225</v>
      </c>
      <c r="M28" s="24"/>
      <c r="N28" s="29"/>
      <c r="O28" s="25"/>
    </row>
    <row r="29" spans="1:15" ht="25.5" x14ac:dyDescent="0.2">
      <c r="A29" s="23">
        <f t="shared" si="0"/>
        <v>26</v>
      </c>
      <c r="B29" s="107" t="s">
        <v>843</v>
      </c>
      <c r="C29" s="108" t="s">
        <v>842</v>
      </c>
      <c r="D29" s="108" t="s">
        <v>844</v>
      </c>
      <c r="E29" s="60">
        <v>35</v>
      </c>
      <c r="F29" s="61">
        <v>35</v>
      </c>
      <c r="G29" s="61">
        <v>35</v>
      </c>
      <c r="H29" s="61">
        <v>35</v>
      </c>
      <c r="I29" s="106" t="s">
        <v>93</v>
      </c>
      <c r="J29" s="105" t="s">
        <v>850</v>
      </c>
      <c r="K29" s="31" t="s">
        <v>157</v>
      </c>
      <c r="L29" s="30" t="s">
        <v>224</v>
      </c>
      <c r="M29" s="24"/>
      <c r="N29" s="29">
        <v>3.5</v>
      </c>
      <c r="O29" s="25">
        <f>N29*1000/H29</f>
        <v>100</v>
      </c>
    </row>
    <row r="30" spans="1:15" x14ac:dyDescent="0.2">
      <c r="A30" s="23">
        <f t="shared" si="0"/>
        <v>27</v>
      </c>
      <c r="B30" s="107" t="s">
        <v>843</v>
      </c>
      <c r="C30" s="108" t="s">
        <v>842</v>
      </c>
      <c r="D30" s="108" t="s">
        <v>844</v>
      </c>
      <c r="E30" s="60">
        <v>35</v>
      </c>
      <c r="F30" s="61">
        <v>35</v>
      </c>
      <c r="G30" s="61">
        <v>35</v>
      </c>
      <c r="H30" s="61">
        <v>35</v>
      </c>
      <c r="I30" s="106" t="s">
        <v>153</v>
      </c>
      <c r="J30" s="105" t="s">
        <v>851</v>
      </c>
      <c r="K30" s="31" t="s">
        <v>157</v>
      </c>
      <c r="L30" s="30" t="s">
        <v>224</v>
      </c>
      <c r="M30" s="24"/>
      <c r="N30" s="29"/>
      <c r="O30" s="25"/>
    </row>
    <row r="31" spans="1:15" ht="25.5" x14ac:dyDescent="0.2">
      <c r="A31" s="23">
        <f t="shared" si="0"/>
        <v>28</v>
      </c>
      <c r="B31" s="107" t="s">
        <v>845</v>
      </c>
      <c r="C31" s="108" t="s">
        <v>842</v>
      </c>
      <c r="D31" s="108" t="s">
        <v>846</v>
      </c>
      <c r="E31" s="60"/>
      <c r="F31" s="61"/>
      <c r="G31" s="61"/>
      <c r="H31" s="61"/>
      <c r="I31" s="106" t="s">
        <v>153</v>
      </c>
      <c r="J31" s="105" t="s">
        <v>847</v>
      </c>
      <c r="K31" s="31" t="s">
        <v>157</v>
      </c>
      <c r="L31" s="30" t="s">
        <v>158</v>
      </c>
      <c r="M31" s="24"/>
      <c r="N31" s="29"/>
      <c r="O31" s="25"/>
    </row>
    <row r="32" spans="1:15" ht="25.5" x14ac:dyDescent="0.2">
      <c r="A32" s="23">
        <f t="shared" si="0"/>
        <v>29</v>
      </c>
      <c r="B32" s="37" t="s">
        <v>29</v>
      </c>
      <c r="C32" s="38" t="s">
        <v>172</v>
      </c>
      <c r="D32" s="38"/>
      <c r="E32" s="60">
        <v>224</v>
      </c>
      <c r="F32" s="61">
        <v>239</v>
      </c>
      <c r="G32" s="61">
        <v>258</v>
      </c>
      <c r="H32" s="61">
        <v>276</v>
      </c>
      <c r="I32" s="27" t="s">
        <v>93</v>
      </c>
      <c r="J32" s="105" t="s">
        <v>867</v>
      </c>
      <c r="K32" s="31" t="s">
        <v>157</v>
      </c>
      <c r="L32" s="30" t="s">
        <v>158</v>
      </c>
      <c r="M32" s="24"/>
      <c r="N32" s="29"/>
      <c r="O32" s="25"/>
    </row>
    <row r="33" spans="1:15" ht="25.5" x14ac:dyDescent="0.2">
      <c r="A33" s="23">
        <f t="shared" si="0"/>
        <v>30</v>
      </c>
      <c r="B33" s="37" t="s">
        <v>29</v>
      </c>
      <c r="C33" s="38" t="s">
        <v>172</v>
      </c>
      <c r="D33" s="38"/>
      <c r="E33" s="60">
        <v>224</v>
      </c>
      <c r="F33" s="61">
        <v>239</v>
      </c>
      <c r="G33" s="61">
        <v>258</v>
      </c>
      <c r="H33" s="61">
        <v>276</v>
      </c>
      <c r="I33" s="27" t="s">
        <v>153</v>
      </c>
      <c r="J33" s="105" t="s">
        <v>868</v>
      </c>
      <c r="K33" s="31" t="s">
        <v>157</v>
      </c>
      <c r="L33" s="30" t="s">
        <v>158</v>
      </c>
      <c r="M33" s="24"/>
      <c r="N33" s="29"/>
      <c r="O33" s="25"/>
    </row>
    <row r="34" spans="1:15" ht="38.25" x14ac:dyDescent="0.2">
      <c r="A34" s="23">
        <f t="shared" si="0"/>
        <v>31</v>
      </c>
      <c r="B34" s="107" t="s">
        <v>854</v>
      </c>
      <c r="C34" s="108" t="s">
        <v>855</v>
      </c>
      <c r="D34" s="38"/>
      <c r="E34" s="60">
        <v>263</v>
      </c>
      <c r="F34" s="61">
        <v>279</v>
      </c>
      <c r="G34" s="61">
        <v>299</v>
      </c>
      <c r="H34" s="61">
        <v>230</v>
      </c>
      <c r="I34" s="106" t="s">
        <v>93</v>
      </c>
      <c r="J34" s="105" t="s">
        <v>870</v>
      </c>
      <c r="K34" s="31" t="s">
        <v>157</v>
      </c>
      <c r="L34" s="30" t="s">
        <v>158</v>
      </c>
      <c r="M34" s="24"/>
      <c r="N34" s="29">
        <v>0.5</v>
      </c>
      <c r="O34" s="25">
        <f>N34*1000/H34</f>
        <v>2.1739130434782608</v>
      </c>
    </row>
    <row r="35" spans="1:15" ht="25.5" x14ac:dyDescent="0.2">
      <c r="A35" s="23">
        <f t="shared" si="0"/>
        <v>32</v>
      </c>
      <c r="B35" s="107" t="s">
        <v>854</v>
      </c>
      <c r="C35" s="108" t="s">
        <v>855</v>
      </c>
      <c r="D35" s="38"/>
      <c r="E35" s="60">
        <v>263</v>
      </c>
      <c r="F35" s="61">
        <v>279</v>
      </c>
      <c r="G35" s="61">
        <v>299</v>
      </c>
      <c r="H35" s="61">
        <v>230</v>
      </c>
      <c r="I35" s="106" t="s">
        <v>153</v>
      </c>
      <c r="J35" s="105" t="s">
        <v>869</v>
      </c>
      <c r="K35" s="31" t="s">
        <v>156</v>
      </c>
      <c r="L35" s="30"/>
      <c r="M35" s="24"/>
      <c r="N35" s="29"/>
      <c r="O35" s="25"/>
    </row>
    <row r="36" spans="1:15" ht="38.25" x14ac:dyDescent="0.2">
      <c r="A36" s="23">
        <f t="shared" si="0"/>
        <v>33</v>
      </c>
      <c r="B36" s="107" t="s">
        <v>856</v>
      </c>
      <c r="C36" s="108" t="s">
        <v>857</v>
      </c>
      <c r="D36" s="38"/>
      <c r="E36" s="60">
        <v>41</v>
      </c>
      <c r="F36" s="61">
        <v>45</v>
      </c>
      <c r="G36" s="61">
        <v>50</v>
      </c>
      <c r="H36" s="61">
        <v>55</v>
      </c>
      <c r="I36" s="106" t="s">
        <v>153</v>
      </c>
      <c r="J36" s="105" t="s">
        <v>866</v>
      </c>
      <c r="K36" s="31" t="s">
        <v>157</v>
      </c>
      <c r="L36" s="30" t="s">
        <v>158</v>
      </c>
      <c r="M36" s="24"/>
      <c r="N36" s="29"/>
      <c r="O36" s="25"/>
    </row>
    <row r="37" spans="1:15" ht="38.25" x14ac:dyDescent="0.2">
      <c r="A37" s="23">
        <f t="shared" si="0"/>
        <v>34</v>
      </c>
      <c r="B37" s="107" t="s">
        <v>858</v>
      </c>
      <c r="C37" s="108" t="s">
        <v>859</v>
      </c>
      <c r="D37" s="38"/>
      <c r="E37" s="60">
        <v>257</v>
      </c>
      <c r="F37" s="61">
        <v>268</v>
      </c>
      <c r="G37" s="61">
        <v>282</v>
      </c>
      <c r="H37" s="61">
        <v>296</v>
      </c>
      <c r="I37" s="106" t="s">
        <v>153</v>
      </c>
      <c r="J37" s="105" t="s">
        <v>860</v>
      </c>
      <c r="K37" s="31" t="s">
        <v>157</v>
      </c>
      <c r="L37" s="30" t="s">
        <v>158</v>
      </c>
      <c r="M37" s="24"/>
      <c r="N37" s="29"/>
      <c r="O37" s="25"/>
    </row>
    <row r="38" spans="1:15" ht="25.5" x14ac:dyDescent="0.2">
      <c r="A38" s="23">
        <f t="shared" si="0"/>
        <v>35</v>
      </c>
      <c r="B38" s="107" t="s">
        <v>862</v>
      </c>
      <c r="C38" s="108" t="s">
        <v>859</v>
      </c>
      <c r="D38" s="108" t="s">
        <v>863</v>
      </c>
      <c r="E38" s="60">
        <v>79</v>
      </c>
      <c r="F38" s="61">
        <v>80</v>
      </c>
      <c r="G38" s="61">
        <v>81</v>
      </c>
      <c r="H38" s="61">
        <v>82</v>
      </c>
      <c r="I38" s="106" t="s">
        <v>153</v>
      </c>
      <c r="J38" s="105" t="s">
        <v>861</v>
      </c>
      <c r="K38" s="31" t="s">
        <v>157</v>
      </c>
      <c r="L38" s="30" t="s">
        <v>224</v>
      </c>
      <c r="M38" s="24"/>
      <c r="N38" s="29">
        <v>5.5</v>
      </c>
      <c r="O38" s="25">
        <f>N38*1000/H38</f>
        <v>67.073170731707322</v>
      </c>
    </row>
    <row r="39" spans="1:15" ht="38.25" x14ac:dyDescent="0.2">
      <c r="A39" s="23">
        <f t="shared" si="0"/>
        <v>36</v>
      </c>
      <c r="B39" s="107" t="s">
        <v>864</v>
      </c>
      <c r="C39" s="108" t="s">
        <v>859</v>
      </c>
      <c r="D39" s="108" t="s">
        <v>865</v>
      </c>
      <c r="E39" s="60">
        <v>42</v>
      </c>
      <c r="F39" s="61">
        <v>45</v>
      </c>
      <c r="G39" s="61">
        <v>50</v>
      </c>
      <c r="H39" s="61">
        <v>54</v>
      </c>
      <c r="I39" s="106" t="s">
        <v>153</v>
      </c>
      <c r="J39" s="105" t="s">
        <v>860</v>
      </c>
      <c r="K39" s="31" t="s">
        <v>157</v>
      </c>
      <c r="L39" s="30" t="s">
        <v>158</v>
      </c>
      <c r="M39" s="24"/>
      <c r="N39" s="29">
        <v>0.7</v>
      </c>
      <c r="O39" s="25">
        <f>N39*1000/H39</f>
        <v>12.962962962962964</v>
      </c>
    </row>
    <row r="40" spans="1:15" x14ac:dyDescent="0.2">
      <c r="E40" s="1"/>
      <c r="F40" s="1"/>
      <c r="G40" s="1"/>
      <c r="H40" s="1"/>
    </row>
    <row r="41" spans="1:15" x14ac:dyDescent="0.2">
      <c r="E41" s="1"/>
      <c r="F41" s="1"/>
      <c r="G41" s="1"/>
      <c r="H41" s="1"/>
    </row>
    <row r="42" spans="1:15" x14ac:dyDescent="0.2">
      <c r="E42" s="1"/>
      <c r="F42" s="1"/>
      <c r="G42" s="1"/>
      <c r="H42" s="1"/>
    </row>
    <row r="43" spans="1:15" x14ac:dyDescent="0.2">
      <c r="E43" s="1"/>
      <c r="F43" s="1"/>
      <c r="G43" s="1"/>
      <c r="H43" s="1"/>
    </row>
    <row r="44" spans="1:15" x14ac:dyDescent="0.2">
      <c r="E44" s="1"/>
      <c r="F44" s="1"/>
      <c r="G44" s="1"/>
      <c r="H44" s="1"/>
    </row>
    <row r="45" spans="1:15" x14ac:dyDescent="0.2">
      <c r="E45" s="1"/>
      <c r="F45" s="1"/>
      <c r="G45" s="1"/>
      <c r="H45" s="1"/>
    </row>
    <row r="46" spans="1:15" x14ac:dyDescent="0.2">
      <c r="E46" s="1"/>
      <c r="F46" s="1"/>
      <c r="G46" s="1"/>
      <c r="H46" s="1"/>
    </row>
    <row r="47" spans="1:15" x14ac:dyDescent="0.2">
      <c r="E47" s="1"/>
      <c r="F47" s="1"/>
      <c r="G47" s="1"/>
      <c r="H47" s="1"/>
    </row>
    <row r="48" spans="1:15" x14ac:dyDescent="0.2">
      <c r="E48" s="1"/>
      <c r="F48" s="1"/>
      <c r="G48" s="1"/>
      <c r="H48" s="1"/>
    </row>
    <row r="49" spans="5:8" x14ac:dyDescent="0.2">
      <c r="E49" s="1"/>
      <c r="F49" s="1"/>
      <c r="G49" s="1"/>
      <c r="H49" s="1"/>
    </row>
    <row r="50" spans="5:8" x14ac:dyDescent="0.2">
      <c r="E50" s="1"/>
      <c r="F50" s="1"/>
      <c r="G50" s="1"/>
      <c r="H50" s="1"/>
    </row>
    <row r="51" spans="5:8" x14ac:dyDescent="0.2">
      <c r="E51" s="1"/>
      <c r="F51" s="1"/>
      <c r="G51" s="1"/>
      <c r="H51" s="1"/>
    </row>
    <row r="52" spans="5:8" x14ac:dyDescent="0.2">
      <c r="E52" s="1"/>
      <c r="F52" s="1"/>
      <c r="G52" s="1"/>
      <c r="H52" s="1"/>
    </row>
    <row r="53" spans="5:8" x14ac:dyDescent="0.2">
      <c r="E53" s="1"/>
      <c r="F53" s="1"/>
      <c r="G53" s="1"/>
      <c r="H53" s="1"/>
    </row>
    <row r="54" spans="5:8" x14ac:dyDescent="0.2">
      <c r="E54" s="1"/>
      <c r="F54" s="1"/>
      <c r="G54" s="1"/>
      <c r="H54" s="1"/>
    </row>
    <row r="55" spans="5:8" x14ac:dyDescent="0.2">
      <c r="E55" s="1"/>
      <c r="F55" s="1"/>
      <c r="G55" s="1"/>
      <c r="H55" s="1"/>
    </row>
    <row r="56" spans="5:8" x14ac:dyDescent="0.2">
      <c r="E56" s="1"/>
      <c r="F56" s="1"/>
      <c r="G56" s="1"/>
      <c r="H56" s="1"/>
    </row>
    <row r="57" spans="5:8" x14ac:dyDescent="0.2">
      <c r="E57" s="1"/>
      <c r="F57" s="1"/>
      <c r="G57" s="1"/>
      <c r="H57" s="1"/>
    </row>
    <row r="58" spans="5:8" x14ac:dyDescent="0.2">
      <c r="E58" s="1"/>
      <c r="F58" s="1"/>
      <c r="G58" s="1"/>
      <c r="H58" s="1"/>
    </row>
    <row r="59" spans="5:8" x14ac:dyDescent="0.2">
      <c r="E59" s="1"/>
      <c r="F59" s="1"/>
      <c r="G59" s="1"/>
      <c r="H59" s="1"/>
    </row>
    <row r="60" spans="5:8" x14ac:dyDescent="0.2">
      <c r="E60" s="1"/>
      <c r="F60" s="1"/>
      <c r="G60" s="1"/>
      <c r="H60" s="1"/>
    </row>
    <row r="61" spans="5:8" x14ac:dyDescent="0.2">
      <c r="E61" s="1"/>
      <c r="F61" s="1"/>
      <c r="G61" s="1"/>
      <c r="H61" s="1"/>
    </row>
    <row r="62" spans="5:8" x14ac:dyDescent="0.2">
      <c r="E62" s="1"/>
      <c r="F62" s="1"/>
      <c r="G62" s="1"/>
      <c r="H62" s="1"/>
    </row>
    <row r="63" spans="5:8" x14ac:dyDescent="0.2">
      <c r="E63" s="1"/>
      <c r="F63" s="1"/>
      <c r="G63" s="1"/>
      <c r="H63" s="1"/>
    </row>
    <row r="64" spans="5:8" x14ac:dyDescent="0.2">
      <c r="E64" s="1"/>
      <c r="F64" s="1"/>
      <c r="G64" s="1"/>
      <c r="H64" s="1"/>
    </row>
    <row r="65" spans="5:8" x14ac:dyDescent="0.2">
      <c r="E65" s="1"/>
      <c r="F65" s="1"/>
      <c r="G65" s="1"/>
      <c r="H65" s="1"/>
    </row>
    <row r="66" spans="5:8" x14ac:dyDescent="0.2">
      <c r="E66" s="1"/>
      <c r="F66" s="1"/>
      <c r="G66" s="1"/>
      <c r="H66" s="1"/>
    </row>
    <row r="67" spans="5:8" x14ac:dyDescent="0.2">
      <c r="E67" s="1"/>
      <c r="F67" s="1"/>
      <c r="G67" s="1"/>
      <c r="H67" s="1"/>
    </row>
    <row r="68" spans="5:8" x14ac:dyDescent="0.2">
      <c r="E68" s="1"/>
      <c r="F68" s="1"/>
      <c r="G68" s="1"/>
      <c r="H68" s="1"/>
    </row>
    <row r="69" spans="5:8" x14ac:dyDescent="0.2">
      <c r="E69" s="1"/>
      <c r="F69" s="1"/>
      <c r="G69" s="1"/>
      <c r="H69" s="1"/>
    </row>
    <row r="70" spans="5:8" x14ac:dyDescent="0.2">
      <c r="E70" s="1"/>
      <c r="F70" s="1"/>
      <c r="G70" s="1"/>
      <c r="H70" s="1"/>
    </row>
    <row r="71" spans="5:8" x14ac:dyDescent="0.2">
      <c r="E71" s="1"/>
      <c r="F71" s="1"/>
      <c r="G71" s="1"/>
      <c r="H71" s="1"/>
    </row>
    <row r="72" spans="5:8" x14ac:dyDescent="0.2">
      <c r="E72" s="1"/>
      <c r="F72" s="1"/>
      <c r="G72" s="1"/>
      <c r="H72" s="1"/>
    </row>
    <row r="73" spans="5:8" x14ac:dyDescent="0.2">
      <c r="E73" s="1"/>
      <c r="F73" s="1"/>
      <c r="G73" s="1"/>
      <c r="H73" s="1"/>
    </row>
    <row r="74" spans="5:8" x14ac:dyDescent="0.2">
      <c r="E74" s="1"/>
      <c r="F74" s="1"/>
      <c r="G74" s="1"/>
      <c r="H74" s="1"/>
    </row>
    <row r="75" spans="5:8" x14ac:dyDescent="0.2">
      <c r="E75" s="1"/>
      <c r="F75" s="1"/>
      <c r="G75" s="1"/>
      <c r="H75" s="1"/>
    </row>
    <row r="76" spans="5:8" x14ac:dyDescent="0.2">
      <c r="E76" s="1"/>
      <c r="F76" s="1"/>
      <c r="G76" s="1"/>
      <c r="H76" s="1"/>
    </row>
    <row r="77" spans="5:8" x14ac:dyDescent="0.2">
      <c r="E77" s="1"/>
      <c r="F77" s="1"/>
      <c r="G77" s="1"/>
      <c r="H77" s="1"/>
    </row>
    <row r="78" spans="5:8" x14ac:dyDescent="0.2">
      <c r="E78" s="1"/>
      <c r="F78" s="1"/>
      <c r="G78" s="1"/>
      <c r="H78" s="1"/>
    </row>
    <row r="79" spans="5:8" x14ac:dyDescent="0.2">
      <c r="E79" s="1"/>
      <c r="F79" s="1"/>
      <c r="G79" s="1"/>
      <c r="H79" s="1"/>
    </row>
    <row r="80" spans="5:8" x14ac:dyDescent="0.2">
      <c r="E80" s="1"/>
      <c r="F80" s="1"/>
      <c r="G80" s="1"/>
      <c r="H80" s="1"/>
    </row>
    <row r="81" spans="5:8" x14ac:dyDescent="0.2">
      <c r="E81" s="1"/>
      <c r="F81" s="1"/>
      <c r="G81" s="1"/>
      <c r="H81" s="1"/>
    </row>
    <row r="82" spans="5:8" x14ac:dyDescent="0.2">
      <c r="E82" s="1"/>
      <c r="F82" s="1"/>
      <c r="G82" s="1"/>
      <c r="H82" s="1"/>
    </row>
    <row r="83" spans="5:8" x14ac:dyDescent="0.2">
      <c r="E83" s="1"/>
      <c r="F83" s="1"/>
      <c r="G83" s="1"/>
      <c r="H83" s="1"/>
    </row>
    <row r="84" spans="5:8" x14ac:dyDescent="0.2">
      <c r="E84" s="1"/>
      <c r="F84" s="1"/>
      <c r="G84" s="1"/>
      <c r="H84" s="1"/>
    </row>
    <row r="85" spans="5:8" x14ac:dyDescent="0.2">
      <c r="E85" s="1"/>
      <c r="F85" s="1"/>
      <c r="G85" s="1"/>
      <c r="H85" s="1"/>
    </row>
    <row r="86" spans="5:8" x14ac:dyDescent="0.2">
      <c r="E86" s="1"/>
      <c r="F86" s="1"/>
      <c r="G86" s="1"/>
      <c r="H86" s="1"/>
    </row>
    <row r="87" spans="5:8" x14ac:dyDescent="0.2">
      <c r="E87" s="1"/>
      <c r="F87" s="1"/>
      <c r="G87" s="1"/>
      <c r="H87" s="1"/>
    </row>
    <row r="88" spans="5:8" x14ac:dyDescent="0.2">
      <c r="E88" s="1"/>
      <c r="F88" s="1"/>
      <c r="G88" s="1"/>
      <c r="H88" s="1"/>
    </row>
    <row r="89" spans="5:8" x14ac:dyDescent="0.2">
      <c r="E89" s="1"/>
      <c r="F89" s="1"/>
      <c r="G89" s="1"/>
      <c r="H89" s="1"/>
    </row>
    <row r="90" spans="5:8" x14ac:dyDescent="0.2">
      <c r="E90" s="1"/>
      <c r="F90" s="1"/>
      <c r="G90" s="1"/>
      <c r="H90" s="1"/>
    </row>
    <row r="91" spans="5:8" x14ac:dyDescent="0.2">
      <c r="E91" s="1"/>
      <c r="F91" s="1"/>
      <c r="G91" s="1"/>
      <c r="H91" s="1"/>
    </row>
    <row r="92" spans="5:8" x14ac:dyDescent="0.2">
      <c r="E92" s="1"/>
      <c r="F92" s="1"/>
      <c r="G92" s="1"/>
      <c r="H92" s="1"/>
    </row>
    <row r="93" spans="5:8" x14ac:dyDescent="0.2">
      <c r="E93" s="1"/>
      <c r="F93" s="1"/>
      <c r="G93" s="1"/>
      <c r="H93" s="1"/>
    </row>
    <row r="94" spans="5:8" x14ac:dyDescent="0.2">
      <c r="E94" s="1"/>
      <c r="F94" s="1"/>
      <c r="G94" s="1"/>
      <c r="H94" s="1"/>
    </row>
    <row r="95" spans="5:8" x14ac:dyDescent="0.2">
      <c r="E95" s="1"/>
      <c r="F95" s="1"/>
      <c r="G95" s="1"/>
      <c r="H95" s="1"/>
    </row>
    <row r="96" spans="5:8" x14ac:dyDescent="0.2">
      <c r="E96" s="1"/>
      <c r="F96" s="1"/>
      <c r="G96" s="1"/>
      <c r="H96" s="1"/>
    </row>
    <row r="97" spans="5:8" x14ac:dyDescent="0.2">
      <c r="E97" s="1"/>
      <c r="F97" s="1"/>
      <c r="G97" s="1"/>
      <c r="H97" s="1"/>
    </row>
    <row r="98" spans="5:8" x14ac:dyDescent="0.2">
      <c r="E98" s="1"/>
      <c r="F98" s="1"/>
      <c r="G98" s="1"/>
      <c r="H98" s="1"/>
    </row>
    <row r="99" spans="5:8" x14ac:dyDescent="0.2">
      <c r="E99" s="1"/>
      <c r="F99" s="1"/>
      <c r="G99" s="1"/>
      <c r="H99" s="1"/>
    </row>
    <row r="100" spans="5:8" x14ac:dyDescent="0.2">
      <c r="E100" s="1"/>
      <c r="F100" s="1"/>
      <c r="G100" s="1"/>
      <c r="H100" s="1"/>
    </row>
    <row r="101" spans="5:8" x14ac:dyDescent="0.2">
      <c r="E101" s="1"/>
      <c r="F101" s="1"/>
      <c r="G101" s="1"/>
      <c r="H101" s="1"/>
    </row>
    <row r="102" spans="5:8" x14ac:dyDescent="0.2">
      <c r="E102" s="1"/>
      <c r="F102" s="1"/>
      <c r="G102" s="1"/>
      <c r="H102" s="1"/>
    </row>
    <row r="103" spans="5:8" x14ac:dyDescent="0.2">
      <c r="E103" s="1"/>
      <c r="F103" s="1"/>
      <c r="G103" s="1"/>
      <c r="H103" s="1"/>
    </row>
    <row r="104" spans="5:8" x14ac:dyDescent="0.2">
      <c r="E104" s="1"/>
      <c r="F104" s="1"/>
      <c r="G104" s="1"/>
      <c r="H104" s="1"/>
    </row>
    <row r="105" spans="5:8" x14ac:dyDescent="0.2">
      <c r="E105" s="1"/>
      <c r="F105" s="1"/>
      <c r="G105" s="1"/>
      <c r="H105" s="1"/>
    </row>
    <row r="106" spans="5:8" x14ac:dyDescent="0.2">
      <c r="E106" s="1"/>
      <c r="F106" s="1"/>
      <c r="G106" s="1"/>
      <c r="H106" s="1"/>
    </row>
    <row r="107" spans="5:8" x14ac:dyDescent="0.2">
      <c r="E107" s="1"/>
      <c r="F107" s="1"/>
      <c r="G107" s="1"/>
      <c r="H107" s="1"/>
    </row>
    <row r="108" spans="5:8" x14ac:dyDescent="0.2">
      <c r="E108" s="1"/>
      <c r="F108" s="1"/>
      <c r="G108" s="1"/>
      <c r="H108" s="1"/>
    </row>
    <row r="109" spans="5:8" x14ac:dyDescent="0.2">
      <c r="E109" s="1"/>
      <c r="F109" s="1"/>
      <c r="G109" s="1"/>
      <c r="H109" s="1"/>
    </row>
    <row r="110" spans="5:8" x14ac:dyDescent="0.2">
      <c r="E110" s="1"/>
      <c r="F110" s="1"/>
      <c r="G110" s="1"/>
      <c r="H110" s="1"/>
    </row>
    <row r="111" spans="5:8" x14ac:dyDescent="0.2">
      <c r="E111" s="1"/>
      <c r="F111" s="1"/>
      <c r="G111" s="1"/>
      <c r="H111" s="1"/>
    </row>
    <row r="112" spans="5:8" x14ac:dyDescent="0.2">
      <c r="E112" s="1"/>
      <c r="F112" s="1"/>
      <c r="G112" s="1"/>
      <c r="H112" s="1"/>
    </row>
    <row r="113" spans="5:8" x14ac:dyDescent="0.2">
      <c r="E113" s="1"/>
      <c r="F113" s="1"/>
      <c r="G113" s="1"/>
      <c r="H113" s="1"/>
    </row>
    <row r="114" spans="5:8" x14ac:dyDescent="0.2">
      <c r="E114" s="1"/>
      <c r="F114" s="1"/>
      <c r="G114" s="1"/>
      <c r="H114" s="1"/>
    </row>
    <row r="115" spans="5:8" x14ac:dyDescent="0.2">
      <c r="E115" s="1"/>
      <c r="F115" s="1"/>
      <c r="G115" s="1"/>
      <c r="H115" s="1"/>
    </row>
    <row r="116" spans="5:8" x14ac:dyDescent="0.2">
      <c r="E116" s="1"/>
      <c r="F116" s="1"/>
      <c r="G116" s="1"/>
      <c r="H116" s="1"/>
    </row>
    <row r="117" spans="5:8" x14ac:dyDescent="0.2">
      <c r="E117" s="1"/>
      <c r="F117" s="1"/>
      <c r="G117" s="1"/>
      <c r="H117" s="1"/>
    </row>
    <row r="118" spans="5:8" x14ac:dyDescent="0.2">
      <c r="E118" s="1"/>
      <c r="F118" s="1"/>
      <c r="G118" s="1"/>
      <c r="H118" s="1"/>
    </row>
    <row r="119" spans="5:8" x14ac:dyDescent="0.2">
      <c r="E119" s="1"/>
      <c r="F119" s="1"/>
      <c r="G119" s="1"/>
      <c r="H119" s="1"/>
    </row>
    <row r="120" spans="5:8" x14ac:dyDescent="0.2">
      <c r="E120" s="1"/>
      <c r="F120" s="1"/>
      <c r="G120" s="1"/>
      <c r="H120" s="1"/>
    </row>
    <row r="121" spans="5:8" x14ac:dyDescent="0.2">
      <c r="E121" s="1"/>
      <c r="F121" s="1"/>
      <c r="G121" s="1"/>
      <c r="H121" s="1"/>
    </row>
    <row r="122" spans="5:8" x14ac:dyDescent="0.2">
      <c r="E122" s="1"/>
      <c r="F122" s="1"/>
      <c r="G122" s="1"/>
      <c r="H122" s="1"/>
    </row>
    <row r="123" spans="5:8" x14ac:dyDescent="0.2">
      <c r="E123" s="1"/>
      <c r="F123" s="1"/>
      <c r="G123" s="1"/>
      <c r="H123" s="1"/>
    </row>
    <row r="124" spans="5:8" x14ac:dyDescent="0.2">
      <c r="E124" s="1"/>
      <c r="F124" s="1"/>
      <c r="G124" s="1"/>
      <c r="H124" s="1"/>
    </row>
    <row r="125" spans="5:8" x14ac:dyDescent="0.2">
      <c r="E125" s="1"/>
      <c r="F125" s="1"/>
      <c r="G125" s="1"/>
      <c r="H125" s="1"/>
    </row>
    <row r="126" spans="5:8" x14ac:dyDescent="0.2">
      <c r="E126" s="1"/>
      <c r="F126" s="1"/>
      <c r="G126" s="1"/>
      <c r="H126" s="1"/>
    </row>
    <row r="127" spans="5:8" x14ac:dyDescent="0.2">
      <c r="E127" s="1"/>
      <c r="F127" s="1"/>
      <c r="G127" s="1"/>
      <c r="H127" s="1"/>
    </row>
    <row r="128" spans="5:8" x14ac:dyDescent="0.2">
      <c r="E128" s="1"/>
      <c r="F128" s="1"/>
      <c r="G128" s="1"/>
      <c r="H128" s="1"/>
    </row>
  </sheetData>
  <autoFilter ref="A3:O39"/>
  <mergeCells count="2">
    <mergeCell ref="M1:N1"/>
    <mergeCell ref="E1:H1"/>
  </mergeCells>
  <phoneticPr fontId="2" type="noConversion"/>
  <conditionalFormatting sqref="A5:A22 A24:A39">
    <cfRule type="cellIs" dxfId="90" priority="1" stopIfTrue="1" operator="equal">
      <formula>A4</formula>
    </cfRule>
  </conditionalFormatting>
  <conditionalFormatting sqref="N4:N39">
    <cfRule type="cellIs" dxfId="89" priority="2" stopIfTrue="1" operator="equal">
      <formula>0</formula>
    </cfRule>
  </conditionalFormatting>
  <conditionalFormatting sqref="A3">
    <cfRule type="cellIs" dxfId="88" priority="3" stopIfTrue="1" operator="equal">
      <formula>#REF!</formula>
    </cfRule>
  </conditionalFormatting>
  <conditionalFormatting sqref="A37 A32 A25 A23 A18 A12">
    <cfRule type="cellIs" dxfId="87" priority="6" stopIfTrue="1" operator="equal">
      <formula>#REF!</formula>
    </cfRule>
  </conditionalFormatting>
  <conditionalFormatting sqref="A17:A18">
    <cfRule type="cellIs" dxfId="86" priority="8" stopIfTrue="1" operator="equal">
      <formula>A13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21"/>
  <sheetViews>
    <sheetView zoomScale="90" zoomScaleNormal="90" zoomScaleSheetLayoutView="90" workbookViewId="0">
      <selection activeCell="N11" sqref="N11"/>
    </sheetView>
  </sheetViews>
  <sheetFormatPr defaultRowHeight="12.75" x14ac:dyDescent="0.2"/>
  <cols>
    <col min="1" max="1" width="4.42578125" style="1" customWidth="1"/>
    <col min="2" max="2" width="13.42578125" style="1" customWidth="1"/>
    <col min="3" max="3" width="11.42578125" style="1" customWidth="1"/>
    <col min="4" max="4" width="13.28515625" style="1" customWidth="1"/>
    <col min="5" max="8" width="5.7109375" customWidth="1"/>
    <col min="9" max="9" width="10" style="2" customWidth="1"/>
    <col min="10" max="10" width="50.7109375" style="1" customWidth="1"/>
    <col min="11" max="12" width="9.7109375" style="1" customWidth="1"/>
    <col min="13" max="13" width="8.85546875" style="1" customWidth="1"/>
    <col min="14" max="14" width="9.7109375" style="1" customWidth="1"/>
    <col min="15" max="15" width="11.42578125" style="1" customWidth="1"/>
    <col min="16" max="16" width="4.42578125" style="1" customWidth="1"/>
    <col min="17" max="20" width="9.140625" style="1"/>
    <col min="21" max="21" width="10.42578125" style="1" customWidth="1"/>
    <col min="22" max="26" width="9.140625" style="1"/>
    <col min="27" max="27" width="10.140625" style="1" bestFit="1" customWidth="1"/>
    <col min="28" max="48" width="9.140625" style="1"/>
    <col min="49" max="49" width="10.140625" style="1" bestFit="1" customWidth="1"/>
    <col min="50" max="50" width="10.140625" style="1" customWidth="1"/>
    <col min="51" max="51" width="11.42578125" style="1" bestFit="1" customWidth="1"/>
    <col min="52" max="52" width="9.140625" style="1"/>
    <col min="53" max="53" width="12.28515625" style="1" bestFit="1" customWidth="1"/>
    <col min="54" max="16384" width="9.140625" style="1"/>
  </cols>
  <sheetData>
    <row r="1" spans="1:81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0"/>
      <c r="AV1" s="9"/>
      <c r="AW1" s="9"/>
      <c r="AX1" s="9"/>
      <c r="AY1" s="9"/>
      <c r="AZ1" s="9"/>
      <c r="BA1" s="9"/>
    </row>
    <row r="2" spans="1:81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81" s="3" customFormat="1" ht="13.5" thickBot="1" x14ac:dyDescent="0.25">
      <c r="A3" s="54"/>
      <c r="B3" s="55"/>
      <c r="C3" s="55" t="s">
        <v>35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s="3" customFormat="1" x14ac:dyDescent="0.2">
      <c r="A4" s="39">
        <f t="shared" ref="A4:A42" si="0">IF(B4="",A3,A3+1)</f>
        <v>1</v>
      </c>
      <c r="B4" s="122" t="s">
        <v>871</v>
      </c>
      <c r="C4" s="123" t="s">
        <v>872</v>
      </c>
      <c r="D4" s="82"/>
      <c r="E4" s="63"/>
      <c r="F4" s="64"/>
      <c r="G4" s="64"/>
      <c r="H4" s="64"/>
      <c r="I4" s="102" t="s">
        <v>462</v>
      </c>
      <c r="J4" s="121" t="s">
        <v>537</v>
      </c>
      <c r="K4" s="67" t="s">
        <v>156</v>
      </c>
      <c r="L4" s="83"/>
      <c r="M4" s="40"/>
      <c r="N4" s="42"/>
      <c r="O4" s="6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s="3" customFormat="1" ht="25.5" x14ac:dyDescent="0.2">
      <c r="A5" s="23">
        <f t="shared" si="0"/>
        <v>2</v>
      </c>
      <c r="B5" s="107" t="s">
        <v>873</v>
      </c>
      <c r="C5" s="108" t="s">
        <v>872</v>
      </c>
      <c r="D5" s="108" t="s">
        <v>874</v>
      </c>
      <c r="E5" s="60">
        <v>47</v>
      </c>
      <c r="F5" s="61">
        <v>46</v>
      </c>
      <c r="G5" s="61">
        <v>45</v>
      </c>
      <c r="H5" s="61">
        <v>44</v>
      </c>
      <c r="I5" s="106" t="s">
        <v>93</v>
      </c>
      <c r="J5" s="105" t="s">
        <v>875</v>
      </c>
      <c r="K5" s="31" t="s">
        <v>157</v>
      </c>
      <c r="L5" s="30" t="s">
        <v>224</v>
      </c>
      <c r="M5" s="24"/>
      <c r="N5" s="29">
        <v>1.56</v>
      </c>
      <c r="O5" s="25">
        <f>N5*1000/H5</f>
        <v>35.454545454545453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s="3" customFormat="1" x14ac:dyDescent="0.2">
      <c r="A6" s="23">
        <f t="shared" si="0"/>
        <v>3</v>
      </c>
      <c r="B6" s="107" t="s">
        <v>878</v>
      </c>
      <c r="C6" s="108" t="s">
        <v>872</v>
      </c>
      <c r="D6" s="108" t="s">
        <v>877</v>
      </c>
      <c r="E6" s="60"/>
      <c r="F6" s="61"/>
      <c r="G6" s="61"/>
      <c r="H6" s="61"/>
      <c r="I6" s="106" t="s">
        <v>153</v>
      </c>
      <c r="J6" s="105" t="s">
        <v>876</v>
      </c>
      <c r="K6" s="31" t="s">
        <v>157</v>
      </c>
      <c r="L6" s="30" t="s">
        <v>158</v>
      </c>
      <c r="M6" s="24"/>
      <c r="N6" s="29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s="3" customFormat="1" x14ac:dyDescent="0.2">
      <c r="A7" s="23">
        <f t="shared" si="0"/>
        <v>4</v>
      </c>
      <c r="B7" s="107" t="s">
        <v>879</v>
      </c>
      <c r="C7" s="108" t="s">
        <v>872</v>
      </c>
      <c r="D7" s="108" t="s">
        <v>880</v>
      </c>
      <c r="E7" s="60">
        <v>99</v>
      </c>
      <c r="F7" s="61">
        <v>100</v>
      </c>
      <c r="G7" s="61">
        <v>102</v>
      </c>
      <c r="H7" s="61">
        <v>103</v>
      </c>
      <c r="I7" s="106" t="s">
        <v>153</v>
      </c>
      <c r="J7" s="105" t="s">
        <v>683</v>
      </c>
      <c r="K7" s="31" t="s">
        <v>157</v>
      </c>
      <c r="L7" s="30" t="s">
        <v>224</v>
      </c>
      <c r="M7" s="24"/>
      <c r="N7" s="29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s="3" customFormat="1" ht="25.5" x14ac:dyDescent="0.2">
      <c r="A8" s="23">
        <f t="shared" si="0"/>
        <v>5</v>
      </c>
      <c r="B8" s="37" t="s">
        <v>245</v>
      </c>
      <c r="C8" s="38" t="s">
        <v>193</v>
      </c>
      <c r="D8" s="38"/>
      <c r="E8" s="60">
        <v>725</v>
      </c>
      <c r="F8" s="61">
        <v>729</v>
      </c>
      <c r="G8" s="61">
        <v>735</v>
      </c>
      <c r="H8" s="61">
        <v>741</v>
      </c>
      <c r="I8" s="106" t="s">
        <v>153</v>
      </c>
      <c r="J8" s="105" t="s">
        <v>881</v>
      </c>
      <c r="K8" s="31" t="s">
        <v>156</v>
      </c>
      <c r="L8" s="30"/>
      <c r="M8" s="24"/>
      <c r="N8" s="29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x14ac:dyDescent="0.2">
      <c r="A9" s="23">
        <f t="shared" si="0"/>
        <v>6</v>
      </c>
      <c r="B9" s="37" t="s">
        <v>36</v>
      </c>
      <c r="C9" s="38" t="s">
        <v>193</v>
      </c>
      <c r="D9" s="38" t="s">
        <v>37</v>
      </c>
      <c r="E9" s="60">
        <v>359</v>
      </c>
      <c r="F9" s="61">
        <v>363</v>
      </c>
      <c r="G9" s="61">
        <v>367</v>
      </c>
      <c r="H9" s="61">
        <v>372</v>
      </c>
      <c r="I9" s="106" t="s">
        <v>153</v>
      </c>
      <c r="J9" s="105" t="s">
        <v>882</v>
      </c>
      <c r="K9" s="31" t="s">
        <v>157</v>
      </c>
      <c r="L9" s="30" t="s">
        <v>180</v>
      </c>
      <c r="M9" s="24"/>
      <c r="N9" s="29"/>
      <c r="O9" s="25"/>
    </row>
    <row r="10" spans="1:81" ht="25.5" x14ac:dyDescent="0.2">
      <c r="A10" s="23">
        <f t="shared" si="0"/>
        <v>7</v>
      </c>
      <c r="B10" s="107" t="s">
        <v>883</v>
      </c>
      <c r="C10" s="38" t="s">
        <v>193</v>
      </c>
      <c r="D10" s="108" t="s">
        <v>884</v>
      </c>
      <c r="E10" s="60"/>
      <c r="F10" s="61"/>
      <c r="G10" s="61"/>
      <c r="H10" s="61"/>
      <c r="I10" s="106" t="s">
        <v>153</v>
      </c>
      <c r="J10" s="105" t="s">
        <v>885</v>
      </c>
      <c r="K10" s="31" t="s">
        <v>157</v>
      </c>
      <c r="L10" s="30" t="s">
        <v>158</v>
      </c>
      <c r="M10" s="24"/>
      <c r="N10" s="29"/>
      <c r="O10" s="25"/>
    </row>
    <row r="11" spans="1:81" ht="38.25" x14ac:dyDescent="0.2">
      <c r="A11" s="23">
        <f t="shared" si="0"/>
        <v>8</v>
      </c>
      <c r="B11" s="107" t="s">
        <v>886</v>
      </c>
      <c r="C11" s="38" t="s">
        <v>193</v>
      </c>
      <c r="D11" s="108" t="s">
        <v>887</v>
      </c>
      <c r="E11" s="60"/>
      <c r="F11" s="61"/>
      <c r="G11" s="61"/>
      <c r="H11" s="61"/>
      <c r="I11" s="106" t="s">
        <v>93</v>
      </c>
      <c r="J11" s="105" t="s">
        <v>888</v>
      </c>
      <c r="K11" s="31" t="s">
        <v>157</v>
      </c>
      <c r="L11" s="30" t="s">
        <v>158</v>
      </c>
      <c r="M11" s="24"/>
      <c r="N11" s="29"/>
      <c r="O11" s="25"/>
    </row>
    <row r="12" spans="1:81" ht="51" x14ac:dyDescent="0.2">
      <c r="A12" s="23">
        <f t="shared" si="0"/>
        <v>9</v>
      </c>
      <c r="B12" s="107" t="s">
        <v>886</v>
      </c>
      <c r="C12" s="38" t="s">
        <v>193</v>
      </c>
      <c r="D12" s="108" t="s">
        <v>887</v>
      </c>
      <c r="E12" s="60"/>
      <c r="F12" s="61"/>
      <c r="G12" s="61"/>
      <c r="H12" s="61"/>
      <c r="I12" s="106" t="s">
        <v>153</v>
      </c>
      <c r="J12" s="105" t="s">
        <v>889</v>
      </c>
      <c r="K12" s="31" t="s">
        <v>157</v>
      </c>
      <c r="L12" s="30" t="s">
        <v>158</v>
      </c>
      <c r="M12" s="24"/>
      <c r="N12" s="29"/>
      <c r="O12" s="25"/>
    </row>
    <row r="13" spans="1:81" ht="25.5" x14ac:dyDescent="0.2">
      <c r="A13" s="23">
        <f t="shared" si="0"/>
        <v>10</v>
      </c>
      <c r="B13" s="37" t="s">
        <v>101</v>
      </c>
      <c r="C13" s="38" t="s">
        <v>102</v>
      </c>
      <c r="D13" s="38"/>
      <c r="E13" s="60">
        <v>281</v>
      </c>
      <c r="F13" s="61">
        <v>296</v>
      </c>
      <c r="G13" s="61">
        <v>315</v>
      </c>
      <c r="H13" s="61">
        <v>333</v>
      </c>
      <c r="I13" s="27" t="s">
        <v>93</v>
      </c>
      <c r="J13" s="105" t="s">
        <v>892</v>
      </c>
      <c r="K13" s="31" t="s">
        <v>157</v>
      </c>
      <c r="L13" s="30" t="s">
        <v>224</v>
      </c>
      <c r="M13" s="24"/>
      <c r="N13" s="29"/>
      <c r="O13" s="25"/>
    </row>
    <row r="14" spans="1:81" ht="25.5" x14ac:dyDescent="0.2">
      <c r="A14" s="23">
        <f t="shared" si="0"/>
        <v>11</v>
      </c>
      <c r="B14" s="37" t="s">
        <v>101</v>
      </c>
      <c r="C14" s="38" t="s">
        <v>102</v>
      </c>
      <c r="D14" s="38"/>
      <c r="E14" s="60">
        <v>281</v>
      </c>
      <c r="F14" s="61">
        <v>296</v>
      </c>
      <c r="G14" s="61">
        <v>315</v>
      </c>
      <c r="H14" s="61">
        <v>333</v>
      </c>
      <c r="I14" s="27" t="s">
        <v>153</v>
      </c>
      <c r="J14" s="105" t="s">
        <v>893</v>
      </c>
      <c r="K14" s="31" t="s">
        <v>157</v>
      </c>
      <c r="L14" s="30" t="s">
        <v>158</v>
      </c>
      <c r="M14" s="24"/>
      <c r="N14" s="29"/>
      <c r="O14" s="25"/>
    </row>
    <row r="15" spans="1:81" ht="38.25" x14ac:dyDescent="0.2">
      <c r="A15" s="23">
        <f t="shared" si="0"/>
        <v>12</v>
      </c>
      <c r="B15" s="107" t="s">
        <v>890</v>
      </c>
      <c r="C15" s="38" t="s">
        <v>102</v>
      </c>
      <c r="D15" s="108" t="s">
        <v>891</v>
      </c>
      <c r="E15" s="60">
        <v>54</v>
      </c>
      <c r="F15" s="61">
        <v>52</v>
      </c>
      <c r="G15" s="61">
        <v>50</v>
      </c>
      <c r="H15" s="61">
        <v>48</v>
      </c>
      <c r="I15" s="106" t="s">
        <v>93</v>
      </c>
      <c r="J15" s="105" t="s">
        <v>895</v>
      </c>
      <c r="K15" s="31" t="s">
        <v>157</v>
      </c>
      <c r="L15" s="30" t="s">
        <v>158</v>
      </c>
      <c r="M15" s="24"/>
      <c r="N15" s="29"/>
      <c r="O15" s="25"/>
    </row>
    <row r="16" spans="1:81" ht="27.75" customHeight="1" x14ac:dyDescent="0.2">
      <c r="A16" s="23">
        <f t="shared" si="0"/>
        <v>13</v>
      </c>
      <c r="B16" s="107" t="s">
        <v>890</v>
      </c>
      <c r="C16" s="38" t="s">
        <v>102</v>
      </c>
      <c r="D16" s="108" t="s">
        <v>891</v>
      </c>
      <c r="E16" s="60">
        <v>54</v>
      </c>
      <c r="F16" s="61">
        <v>52</v>
      </c>
      <c r="G16" s="61">
        <v>50</v>
      </c>
      <c r="H16" s="61">
        <v>48</v>
      </c>
      <c r="I16" s="106" t="s">
        <v>153</v>
      </c>
      <c r="J16" s="105" t="s">
        <v>894</v>
      </c>
      <c r="K16" s="31" t="s">
        <v>157</v>
      </c>
      <c r="L16" s="30" t="s">
        <v>158</v>
      </c>
      <c r="M16" s="24"/>
      <c r="N16" s="29"/>
      <c r="O16" s="25"/>
    </row>
    <row r="17" spans="1:15" ht="25.5" x14ac:dyDescent="0.2">
      <c r="A17" s="23">
        <f t="shared" si="0"/>
        <v>14</v>
      </c>
      <c r="B17" s="107" t="s">
        <v>100</v>
      </c>
      <c r="C17" s="38" t="s">
        <v>194</v>
      </c>
      <c r="D17" s="108"/>
      <c r="E17" s="60">
        <v>2549</v>
      </c>
      <c r="F17" s="61">
        <v>2591</v>
      </c>
      <c r="G17" s="61">
        <v>2644</v>
      </c>
      <c r="H17" s="61">
        <v>2283</v>
      </c>
      <c r="I17" s="106" t="s">
        <v>93</v>
      </c>
      <c r="J17" s="105" t="s">
        <v>794</v>
      </c>
      <c r="K17" s="31" t="s">
        <v>157</v>
      </c>
      <c r="L17" s="30" t="s">
        <v>158</v>
      </c>
      <c r="M17" s="24"/>
      <c r="N17" s="29">
        <v>7</v>
      </c>
      <c r="O17" s="25">
        <f>N17*1000/H17</f>
        <v>3.0661410424879545</v>
      </c>
    </row>
    <row r="18" spans="1:15" ht="25.5" x14ac:dyDescent="0.2">
      <c r="A18" s="23">
        <f t="shared" si="0"/>
        <v>15</v>
      </c>
      <c r="B18" s="107" t="s">
        <v>100</v>
      </c>
      <c r="C18" s="38" t="s">
        <v>194</v>
      </c>
      <c r="D18" s="108"/>
      <c r="E18" s="60">
        <v>2549</v>
      </c>
      <c r="F18" s="61">
        <v>2591</v>
      </c>
      <c r="G18" s="61">
        <v>2644</v>
      </c>
      <c r="H18" s="61">
        <v>2283</v>
      </c>
      <c r="I18" s="106" t="s">
        <v>153</v>
      </c>
      <c r="J18" s="105" t="s">
        <v>912</v>
      </c>
      <c r="K18" s="31" t="s">
        <v>157</v>
      </c>
      <c r="L18" s="30" t="s">
        <v>158</v>
      </c>
      <c r="M18" s="24"/>
      <c r="N18" s="29">
        <f>21.5+3.5</f>
        <v>25</v>
      </c>
      <c r="O18" s="25">
        <f>N18*1000/H18</f>
        <v>10.950503723171266</v>
      </c>
    </row>
    <row r="19" spans="1:15" ht="25.5" x14ac:dyDescent="0.2">
      <c r="A19" s="23">
        <f t="shared" si="0"/>
        <v>16</v>
      </c>
      <c r="B19" s="107" t="s">
        <v>896</v>
      </c>
      <c r="C19" s="108" t="s">
        <v>194</v>
      </c>
      <c r="D19" s="108" t="s">
        <v>897</v>
      </c>
      <c r="E19" s="60"/>
      <c r="F19" s="61"/>
      <c r="G19" s="61"/>
      <c r="H19" s="61"/>
      <c r="I19" s="106" t="s">
        <v>153</v>
      </c>
      <c r="J19" s="105" t="s">
        <v>904</v>
      </c>
      <c r="K19" s="31" t="s">
        <v>157</v>
      </c>
      <c r="L19" s="30" t="s">
        <v>158</v>
      </c>
      <c r="M19" s="24"/>
      <c r="N19" s="29"/>
      <c r="O19" s="25"/>
    </row>
    <row r="20" spans="1:15" ht="38.25" x14ac:dyDescent="0.2">
      <c r="A20" s="23">
        <f t="shared" si="0"/>
        <v>17</v>
      </c>
      <c r="B20" s="107" t="s">
        <v>898</v>
      </c>
      <c r="C20" s="108" t="s">
        <v>194</v>
      </c>
      <c r="D20" s="108" t="s">
        <v>899</v>
      </c>
      <c r="E20" s="60">
        <v>5</v>
      </c>
      <c r="F20" s="61">
        <v>5</v>
      </c>
      <c r="G20" s="61">
        <v>4</v>
      </c>
      <c r="H20" s="61">
        <v>7</v>
      </c>
      <c r="I20" s="106" t="s">
        <v>153</v>
      </c>
      <c r="J20" s="105" t="s">
        <v>910</v>
      </c>
      <c r="K20" s="31" t="s">
        <v>157</v>
      </c>
      <c r="L20" s="30" t="s">
        <v>158</v>
      </c>
      <c r="M20" s="24"/>
      <c r="N20" s="29"/>
      <c r="O20" s="25"/>
    </row>
    <row r="21" spans="1:15" x14ac:dyDescent="0.2">
      <c r="A21" s="23">
        <f t="shared" si="0"/>
        <v>18</v>
      </c>
      <c r="B21" s="107" t="s">
        <v>900</v>
      </c>
      <c r="C21" s="108" t="s">
        <v>194</v>
      </c>
      <c r="D21" s="108" t="s">
        <v>902</v>
      </c>
      <c r="E21" s="60">
        <v>66</v>
      </c>
      <c r="F21" s="61">
        <v>70</v>
      </c>
      <c r="G21" s="61">
        <v>67</v>
      </c>
      <c r="H21" s="61">
        <v>81</v>
      </c>
      <c r="I21" s="106" t="s">
        <v>462</v>
      </c>
      <c r="J21" s="105" t="s">
        <v>537</v>
      </c>
      <c r="K21" s="31" t="s">
        <v>156</v>
      </c>
      <c r="L21" s="30"/>
      <c r="M21" s="24"/>
      <c r="N21" s="29"/>
      <c r="O21" s="25"/>
    </row>
    <row r="22" spans="1:15" ht="25.5" x14ac:dyDescent="0.2">
      <c r="A22" s="23">
        <f t="shared" si="0"/>
        <v>19</v>
      </c>
      <c r="B22" s="107" t="s">
        <v>901</v>
      </c>
      <c r="C22" s="108" t="s">
        <v>194</v>
      </c>
      <c r="D22" s="108" t="s">
        <v>903</v>
      </c>
      <c r="E22" s="60">
        <v>1</v>
      </c>
      <c r="F22" s="61">
        <v>1</v>
      </c>
      <c r="G22" s="61">
        <v>1</v>
      </c>
      <c r="H22" s="61">
        <v>1</v>
      </c>
      <c r="I22" s="106" t="s">
        <v>153</v>
      </c>
      <c r="J22" s="105" t="s">
        <v>904</v>
      </c>
      <c r="K22" s="31" t="s">
        <v>157</v>
      </c>
      <c r="L22" s="30" t="s">
        <v>158</v>
      </c>
      <c r="M22" s="24"/>
      <c r="N22" s="29"/>
      <c r="O22" s="25"/>
    </row>
    <row r="23" spans="1:15" ht="25.5" x14ac:dyDescent="0.2">
      <c r="A23" s="23">
        <f t="shared" si="0"/>
        <v>20</v>
      </c>
      <c r="B23" s="107" t="s">
        <v>905</v>
      </c>
      <c r="C23" s="108" t="s">
        <v>194</v>
      </c>
      <c r="D23" s="108" t="s">
        <v>906</v>
      </c>
      <c r="E23" s="60">
        <v>42</v>
      </c>
      <c r="F23" s="61">
        <v>42</v>
      </c>
      <c r="G23" s="61">
        <v>41</v>
      </c>
      <c r="H23" s="61">
        <v>38</v>
      </c>
      <c r="I23" s="106" t="s">
        <v>153</v>
      </c>
      <c r="J23" s="105" t="s">
        <v>904</v>
      </c>
      <c r="K23" s="31" t="s">
        <v>157</v>
      </c>
      <c r="L23" s="30" t="s">
        <v>158</v>
      </c>
      <c r="M23" s="24"/>
      <c r="N23" s="29"/>
      <c r="O23" s="25"/>
    </row>
    <row r="24" spans="1:15" ht="38.25" x14ac:dyDescent="0.2">
      <c r="A24" s="23">
        <f t="shared" si="0"/>
        <v>21</v>
      </c>
      <c r="B24" s="107" t="s">
        <v>907</v>
      </c>
      <c r="C24" s="108" t="s">
        <v>194</v>
      </c>
      <c r="D24" s="108" t="s">
        <v>908</v>
      </c>
      <c r="E24" s="60">
        <v>40</v>
      </c>
      <c r="F24" s="61">
        <v>39</v>
      </c>
      <c r="G24" s="61">
        <v>38</v>
      </c>
      <c r="H24" s="61">
        <v>43</v>
      </c>
      <c r="I24" s="106" t="s">
        <v>153</v>
      </c>
      <c r="J24" s="105" t="s">
        <v>909</v>
      </c>
      <c r="K24" s="31" t="s">
        <v>157</v>
      </c>
      <c r="L24" s="30" t="s">
        <v>158</v>
      </c>
      <c r="M24" s="24"/>
      <c r="N24" s="29">
        <v>20</v>
      </c>
      <c r="O24" s="25">
        <f>N24*1000/H24</f>
        <v>465.11627906976742</v>
      </c>
    </row>
    <row r="25" spans="1:15" x14ac:dyDescent="0.2">
      <c r="A25" s="23">
        <f t="shared" si="0"/>
        <v>22</v>
      </c>
      <c r="B25" s="37" t="s">
        <v>40</v>
      </c>
      <c r="C25" s="38" t="s">
        <v>41</v>
      </c>
      <c r="D25" s="38"/>
      <c r="E25" s="60">
        <v>1857</v>
      </c>
      <c r="F25" s="61">
        <v>1822</v>
      </c>
      <c r="G25" s="61">
        <v>1817</v>
      </c>
      <c r="H25" s="61">
        <v>1727</v>
      </c>
      <c r="I25" s="27" t="s">
        <v>93</v>
      </c>
      <c r="J25" s="105" t="s">
        <v>413</v>
      </c>
      <c r="K25" s="31" t="s">
        <v>157</v>
      </c>
      <c r="L25" s="30" t="s">
        <v>158</v>
      </c>
      <c r="M25" s="24"/>
      <c r="N25" s="29"/>
      <c r="O25" s="25"/>
    </row>
    <row r="26" spans="1:15" ht="38.25" x14ac:dyDescent="0.2">
      <c r="A26" s="23">
        <f t="shared" si="0"/>
        <v>23</v>
      </c>
      <c r="B26" s="37" t="s">
        <v>40</v>
      </c>
      <c r="C26" s="38" t="s">
        <v>41</v>
      </c>
      <c r="D26" s="38"/>
      <c r="E26" s="60">
        <v>1857</v>
      </c>
      <c r="F26" s="61">
        <v>1822</v>
      </c>
      <c r="G26" s="61">
        <v>1817</v>
      </c>
      <c r="H26" s="61">
        <v>1727</v>
      </c>
      <c r="I26" s="27" t="s">
        <v>153</v>
      </c>
      <c r="J26" s="105" t="s">
        <v>924</v>
      </c>
      <c r="K26" s="31" t="s">
        <v>157</v>
      </c>
      <c r="L26" s="30" t="s">
        <v>158</v>
      </c>
      <c r="M26" s="24"/>
      <c r="N26" s="29"/>
      <c r="O26" s="25"/>
    </row>
    <row r="27" spans="1:15" ht="25.5" x14ac:dyDescent="0.2">
      <c r="A27" s="23">
        <f t="shared" si="0"/>
        <v>24</v>
      </c>
      <c r="B27" s="37" t="s">
        <v>913</v>
      </c>
      <c r="C27" s="108" t="s">
        <v>41</v>
      </c>
      <c r="D27" s="108" t="s">
        <v>914</v>
      </c>
      <c r="E27" s="60">
        <v>83</v>
      </c>
      <c r="F27" s="61">
        <v>79</v>
      </c>
      <c r="G27" s="61">
        <v>75</v>
      </c>
      <c r="H27" s="61">
        <v>61</v>
      </c>
      <c r="I27" s="106" t="s">
        <v>93</v>
      </c>
      <c r="J27" s="105" t="s">
        <v>923</v>
      </c>
      <c r="K27" s="31" t="s">
        <v>157</v>
      </c>
      <c r="L27" s="30" t="s">
        <v>180</v>
      </c>
      <c r="M27" s="24"/>
      <c r="N27" s="25">
        <v>1</v>
      </c>
      <c r="O27" s="25">
        <f t="shared" ref="O27:O40" si="1">N27*1000/H27</f>
        <v>16.393442622950818</v>
      </c>
    </row>
    <row r="28" spans="1:15" x14ac:dyDescent="0.2">
      <c r="A28" s="23">
        <f t="shared" si="0"/>
        <v>25</v>
      </c>
      <c r="B28" s="37" t="s">
        <v>913</v>
      </c>
      <c r="C28" s="108" t="s">
        <v>41</v>
      </c>
      <c r="D28" s="108" t="s">
        <v>914</v>
      </c>
      <c r="E28" s="60">
        <v>83</v>
      </c>
      <c r="F28" s="61">
        <v>79</v>
      </c>
      <c r="G28" s="61">
        <v>75</v>
      </c>
      <c r="H28" s="61">
        <v>61</v>
      </c>
      <c r="I28" s="106" t="s">
        <v>153</v>
      </c>
      <c r="J28" s="105" t="s">
        <v>852</v>
      </c>
      <c r="K28" s="31" t="s">
        <v>156</v>
      </c>
      <c r="L28" s="30"/>
      <c r="M28" s="24"/>
      <c r="N28" s="25">
        <v>5</v>
      </c>
      <c r="O28" s="25">
        <f t="shared" si="1"/>
        <v>81.967213114754102</v>
      </c>
    </row>
    <row r="29" spans="1:15" x14ac:dyDescent="0.2">
      <c r="A29" s="23">
        <f t="shared" si="0"/>
        <v>26</v>
      </c>
      <c r="B29" s="37" t="s">
        <v>915</v>
      </c>
      <c r="C29" s="108" t="s">
        <v>41</v>
      </c>
      <c r="D29" s="108" t="s">
        <v>916</v>
      </c>
      <c r="E29" s="60">
        <v>123</v>
      </c>
      <c r="F29" s="61">
        <v>116</v>
      </c>
      <c r="G29" s="61">
        <v>107</v>
      </c>
      <c r="H29" s="61">
        <v>134</v>
      </c>
      <c r="I29" s="106" t="s">
        <v>93</v>
      </c>
      <c r="J29" s="105" t="s">
        <v>921</v>
      </c>
      <c r="K29" s="31" t="s">
        <v>156</v>
      </c>
      <c r="L29" s="30"/>
      <c r="M29" s="24"/>
      <c r="N29" s="25">
        <v>5</v>
      </c>
      <c r="O29" s="25">
        <f t="shared" si="1"/>
        <v>37.313432835820898</v>
      </c>
    </row>
    <row r="30" spans="1:15" ht="25.5" x14ac:dyDescent="0.2">
      <c r="A30" s="23">
        <f t="shared" si="0"/>
        <v>27</v>
      </c>
      <c r="B30" s="37" t="s">
        <v>915</v>
      </c>
      <c r="C30" s="108" t="s">
        <v>41</v>
      </c>
      <c r="D30" s="108" t="s">
        <v>916</v>
      </c>
      <c r="E30" s="60">
        <v>123</v>
      </c>
      <c r="F30" s="61">
        <v>116</v>
      </c>
      <c r="G30" s="61">
        <v>107</v>
      </c>
      <c r="H30" s="61">
        <v>134</v>
      </c>
      <c r="I30" s="106" t="s">
        <v>153</v>
      </c>
      <c r="J30" s="105" t="s">
        <v>922</v>
      </c>
      <c r="K30" s="31" t="s">
        <v>157</v>
      </c>
      <c r="L30" s="30" t="s">
        <v>158</v>
      </c>
      <c r="M30" s="24"/>
      <c r="N30" s="25">
        <v>10</v>
      </c>
      <c r="O30" s="25">
        <f t="shared" si="1"/>
        <v>74.626865671641795</v>
      </c>
    </row>
    <row r="31" spans="1:15" ht="25.5" x14ac:dyDescent="0.2">
      <c r="A31" s="23">
        <f t="shared" si="0"/>
        <v>28</v>
      </c>
      <c r="B31" s="37" t="s">
        <v>917</v>
      </c>
      <c r="C31" s="108" t="s">
        <v>41</v>
      </c>
      <c r="D31" s="108" t="s">
        <v>918</v>
      </c>
      <c r="E31" s="60">
        <v>98</v>
      </c>
      <c r="F31" s="61">
        <v>100</v>
      </c>
      <c r="G31" s="61">
        <v>103</v>
      </c>
      <c r="H31" s="61">
        <v>85</v>
      </c>
      <c r="I31" s="106" t="s">
        <v>93</v>
      </c>
      <c r="J31" s="105" t="s">
        <v>920</v>
      </c>
      <c r="K31" s="31" t="s">
        <v>156</v>
      </c>
      <c r="L31" s="30"/>
      <c r="M31" s="24"/>
      <c r="N31" s="25">
        <v>2</v>
      </c>
      <c r="O31" s="25">
        <f t="shared" si="1"/>
        <v>23.529411764705884</v>
      </c>
    </row>
    <row r="32" spans="1:15" ht="38.25" x14ac:dyDescent="0.2">
      <c r="A32" s="23">
        <f t="shared" si="0"/>
        <v>29</v>
      </c>
      <c r="B32" s="37" t="s">
        <v>917</v>
      </c>
      <c r="C32" s="108" t="s">
        <v>41</v>
      </c>
      <c r="D32" s="108" t="s">
        <v>918</v>
      </c>
      <c r="E32" s="60">
        <v>98</v>
      </c>
      <c r="F32" s="61">
        <v>100</v>
      </c>
      <c r="G32" s="61">
        <v>103</v>
      </c>
      <c r="H32" s="61">
        <v>85</v>
      </c>
      <c r="I32" s="106" t="s">
        <v>153</v>
      </c>
      <c r="J32" s="105" t="s">
        <v>919</v>
      </c>
      <c r="K32" s="31" t="s">
        <v>156</v>
      </c>
      <c r="L32" s="30"/>
      <c r="M32" s="24"/>
      <c r="N32" s="25">
        <v>8</v>
      </c>
      <c r="O32" s="25">
        <f t="shared" si="1"/>
        <v>94.117647058823536</v>
      </c>
    </row>
    <row r="33" spans="1:15" ht="25.5" x14ac:dyDescent="0.2">
      <c r="A33" s="23">
        <f t="shared" si="0"/>
        <v>30</v>
      </c>
      <c r="B33" s="37" t="s">
        <v>925</v>
      </c>
      <c r="C33" s="108" t="s">
        <v>41</v>
      </c>
      <c r="D33" s="108" t="s">
        <v>926</v>
      </c>
      <c r="E33" s="60">
        <v>38</v>
      </c>
      <c r="F33" s="61">
        <v>36</v>
      </c>
      <c r="G33" s="61">
        <v>33</v>
      </c>
      <c r="H33" s="61">
        <v>42</v>
      </c>
      <c r="I33" s="106" t="s">
        <v>93</v>
      </c>
      <c r="J33" s="105" t="s">
        <v>934</v>
      </c>
      <c r="K33" s="31" t="s">
        <v>156</v>
      </c>
      <c r="L33" s="30"/>
      <c r="M33" s="24"/>
      <c r="N33" s="25">
        <v>2</v>
      </c>
      <c r="O33" s="25">
        <f t="shared" si="1"/>
        <v>47.61904761904762</v>
      </c>
    </row>
    <row r="34" spans="1:15" x14ac:dyDescent="0.2">
      <c r="A34" s="23">
        <f t="shared" si="0"/>
        <v>31</v>
      </c>
      <c r="B34" s="37" t="s">
        <v>925</v>
      </c>
      <c r="C34" s="108" t="s">
        <v>41</v>
      </c>
      <c r="D34" s="108" t="s">
        <v>926</v>
      </c>
      <c r="E34" s="60">
        <v>38</v>
      </c>
      <c r="F34" s="61">
        <v>36</v>
      </c>
      <c r="G34" s="61">
        <v>33</v>
      </c>
      <c r="H34" s="61">
        <v>42</v>
      </c>
      <c r="I34" s="106" t="s">
        <v>153</v>
      </c>
      <c r="J34" s="105" t="s">
        <v>911</v>
      </c>
      <c r="K34" s="31" t="s">
        <v>156</v>
      </c>
      <c r="L34" s="30"/>
      <c r="M34" s="24"/>
      <c r="N34" s="25">
        <v>4</v>
      </c>
      <c r="O34" s="25">
        <f t="shared" si="1"/>
        <v>95.238095238095241</v>
      </c>
    </row>
    <row r="35" spans="1:15" ht="38.25" x14ac:dyDescent="0.2">
      <c r="A35" s="23">
        <f t="shared" si="0"/>
        <v>32</v>
      </c>
      <c r="B35" s="37" t="s">
        <v>927</v>
      </c>
      <c r="C35" s="108" t="s">
        <v>41</v>
      </c>
      <c r="D35" s="108" t="s">
        <v>928</v>
      </c>
      <c r="E35" s="60">
        <v>97</v>
      </c>
      <c r="F35" s="61">
        <v>94</v>
      </c>
      <c r="G35" s="61">
        <v>91</v>
      </c>
      <c r="H35" s="61">
        <v>88</v>
      </c>
      <c r="I35" s="106" t="s">
        <v>93</v>
      </c>
      <c r="J35" s="105" t="s">
        <v>933</v>
      </c>
      <c r="K35" s="31" t="s">
        <v>157</v>
      </c>
      <c r="L35" s="30" t="s">
        <v>158</v>
      </c>
      <c r="M35" s="24"/>
      <c r="N35" s="25">
        <v>1</v>
      </c>
      <c r="O35" s="25">
        <f t="shared" si="1"/>
        <v>11.363636363636363</v>
      </c>
    </row>
    <row r="36" spans="1:15" x14ac:dyDescent="0.2">
      <c r="A36" s="23">
        <f t="shared" si="0"/>
        <v>33</v>
      </c>
      <c r="B36" s="37" t="s">
        <v>927</v>
      </c>
      <c r="C36" s="108" t="s">
        <v>41</v>
      </c>
      <c r="D36" s="108" t="s">
        <v>928</v>
      </c>
      <c r="E36" s="60">
        <v>97</v>
      </c>
      <c r="F36" s="61">
        <v>94</v>
      </c>
      <c r="G36" s="61">
        <v>91</v>
      </c>
      <c r="H36" s="61">
        <v>88</v>
      </c>
      <c r="I36" s="106" t="s">
        <v>153</v>
      </c>
      <c r="J36" s="105" t="s">
        <v>911</v>
      </c>
      <c r="K36" s="31" t="s">
        <v>156</v>
      </c>
      <c r="L36" s="30"/>
      <c r="M36" s="24"/>
      <c r="N36" s="25">
        <v>5</v>
      </c>
      <c r="O36" s="25">
        <f t="shared" si="1"/>
        <v>56.81818181818182</v>
      </c>
    </row>
    <row r="37" spans="1:15" ht="38.25" x14ac:dyDescent="0.2">
      <c r="A37" s="23">
        <f t="shared" si="0"/>
        <v>34</v>
      </c>
      <c r="B37" s="37" t="s">
        <v>929</v>
      </c>
      <c r="C37" s="108" t="s">
        <v>41</v>
      </c>
      <c r="D37" s="108" t="s">
        <v>930</v>
      </c>
      <c r="E37" s="60">
        <v>42</v>
      </c>
      <c r="F37" s="61">
        <v>39</v>
      </c>
      <c r="G37" s="61">
        <v>35</v>
      </c>
      <c r="H37" s="61">
        <v>34</v>
      </c>
      <c r="I37" s="106" t="s">
        <v>93</v>
      </c>
      <c r="J37" s="105" t="s">
        <v>932</v>
      </c>
      <c r="K37" s="31" t="s">
        <v>156</v>
      </c>
      <c r="L37" s="30"/>
      <c r="M37" s="24"/>
      <c r="N37" s="25">
        <v>1</v>
      </c>
      <c r="O37" s="25">
        <f t="shared" si="1"/>
        <v>29.411764705882351</v>
      </c>
    </row>
    <row r="38" spans="1:15" ht="25.5" x14ac:dyDescent="0.2">
      <c r="A38" s="23">
        <f t="shared" si="0"/>
        <v>35</v>
      </c>
      <c r="B38" s="37" t="s">
        <v>929</v>
      </c>
      <c r="C38" s="108" t="s">
        <v>41</v>
      </c>
      <c r="D38" s="108" t="s">
        <v>930</v>
      </c>
      <c r="E38" s="60">
        <v>42</v>
      </c>
      <c r="F38" s="61">
        <v>39</v>
      </c>
      <c r="G38" s="61">
        <v>35</v>
      </c>
      <c r="H38" s="61">
        <v>34</v>
      </c>
      <c r="I38" s="106" t="s">
        <v>153</v>
      </c>
      <c r="J38" s="105" t="s">
        <v>931</v>
      </c>
      <c r="K38" s="31" t="s">
        <v>156</v>
      </c>
      <c r="L38" s="30"/>
      <c r="M38" s="24"/>
      <c r="N38" s="25">
        <v>4</v>
      </c>
      <c r="O38" s="25">
        <f t="shared" si="1"/>
        <v>117.64705882352941</v>
      </c>
    </row>
    <row r="39" spans="1:15" ht="25.5" x14ac:dyDescent="0.2">
      <c r="A39" s="23">
        <f t="shared" si="0"/>
        <v>36</v>
      </c>
      <c r="B39" s="37" t="s">
        <v>935</v>
      </c>
      <c r="C39" s="108" t="s">
        <v>41</v>
      </c>
      <c r="D39" s="108" t="s">
        <v>936</v>
      </c>
      <c r="E39" s="60">
        <v>109</v>
      </c>
      <c r="F39" s="61">
        <v>110</v>
      </c>
      <c r="G39" s="61">
        <v>111</v>
      </c>
      <c r="H39" s="61">
        <v>100</v>
      </c>
      <c r="I39" s="106" t="s">
        <v>93</v>
      </c>
      <c r="J39" s="105" t="s">
        <v>937</v>
      </c>
      <c r="K39" s="31" t="s">
        <v>157</v>
      </c>
      <c r="L39" s="30" t="s">
        <v>158</v>
      </c>
      <c r="M39" s="24"/>
      <c r="N39" s="25">
        <v>1</v>
      </c>
      <c r="O39" s="25">
        <f t="shared" si="1"/>
        <v>10</v>
      </c>
    </row>
    <row r="40" spans="1:15" ht="25.5" x14ac:dyDescent="0.2">
      <c r="A40" s="23">
        <f t="shared" si="0"/>
        <v>37</v>
      </c>
      <c r="B40" s="37" t="s">
        <v>935</v>
      </c>
      <c r="C40" s="108" t="s">
        <v>41</v>
      </c>
      <c r="D40" s="108" t="s">
        <v>936</v>
      </c>
      <c r="E40" s="60">
        <v>109</v>
      </c>
      <c r="F40" s="61">
        <v>110</v>
      </c>
      <c r="G40" s="61">
        <v>111</v>
      </c>
      <c r="H40" s="61">
        <v>100</v>
      </c>
      <c r="I40" s="106" t="s">
        <v>153</v>
      </c>
      <c r="J40" s="105" t="s">
        <v>931</v>
      </c>
      <c r="K40" s="31" t="s">
        <v>156</v>
      </c>
      <c r="L40" s="30"/>
      <c r="M40" s="24"/>
      <c r="N40" s="25">
        <v>8</v>
      </c>
      <c r="O40" s="25">
        <f t="shared" si="1"/>
        <v>80</v>
      </c>
    </row>
    <row r="41" spans="1:15" ht="25.5" x14ac:dyDescent="0.2">
      <c r="A41" s="23">
        <f t="shared" si="0"/>
        <v>38</v>
      </c>
      <c r="B41" s="37" t="s">
        <v>938</v>
      </c>
      <c r="C41" s="108" t="s">
        <v>41</v>
      </c>
      <c r="D41" s="108" t="s">
        <v>939</v>
      </c>
      <c r="E41" s="60">
        <v>32</v>
      </c>
      <c r="F41" s="61">
        <v>31</v>
      </c>
      <c r="G41" s="61">
        <v>29</v>
      </c>
      <c r="H41" s="61">
        <v>31</v>
      </c>
      <c r="I41" s="106" t="s">
        <v>93</v>
      </c>
      <c r="J41" s="105" t="s">
        <v>943</v>
      </c>
      <c r="K41" s="31" t="s">
        <v>157</v>
      </c>
      <c r="L41" s="30" t="s">
        <v>158</v>
      </c>
      <c r="M41" s="24"/>
      <c r="N41" s="29"/>
      <c r="O41" s="25"/>
    </row>
    <row r="42" spans="1:15" ht="25.5" x14ac:dyDescent="0.2">
      <c r="A42" s="23">
        <f t="shared" si="0"/>
        <v>39</v>
      </c>
      <c r="B42" s="37" t="s">
        <v>938</v>
      </c>
      <c r="C42" s="108" t="s">
        <v>41</v>
      </c>
      <c r="D42" s="108" t="s">
        <v>939</v>
      </c>
      <c r="E42" s="60">
        <v>32</v>
      </c>
      <c r="F42" s="61">
        <v>31</v>
      </c>
      <c r="G42" s="61">
        <v>29</v>
      </c>
      <c r="H42" s="61">
        <v>31</v>
      </c>
      <c r="I42" s="106" t="s">
        <v>153</v>
      </c>
      <c r="J42" s="105" t="s">
        <v>940</v>
      </c>
      <c r="K42" s="31" t="s">
        <v>156</v>
      </c>
      <c r="L42" s="30"/>
      <c r="M42" s="24"/>
      <c r="N42" s="29"/>
      <c r="O42" s="25"/>
    </row>
    <row r="43" spans="1:15" x14ac:dyDescent="0.2">
      <c r="A43" s="23"/>
      <c r="B43" s="37" t="s">
        <v>941</v>
      </c>
      <c r="C43" s="108" t="s">
        <v>41</v>
      </c>
      <c r="D43" s="108" t="s">
        <v>942</v>
      </c>
      <c r="E43" s="60">
        <v>16</v>
      </c>
      <c r="F43" s="61">
        <v>14</v>
      </c>
      <c r="G43" s="61">
        <v>12</v>
      </c>
      <c r="H43" s="61">
        <v>16</v>
      </c>
      <c r="I43" s="106" t="s">
        <v>93</v>
      </c>
      <c r="J43" s="105" t="s">
        <v>911</v>
      </c>
      <c r="K43" s="31" t="s">
        <v>156</v>
      </c>
      <c r="L43" s="30"/>
      <c r="M43" s="24"/>
      <c r="N43" s="29"/>
      <c r="O43" s="25"/>
    </row>
    <row r="44" spans="1:15" ht="25.5" x14ac:dyDescent="0.2">
      <c r="A44" s="23"/>
      <c r="B44" s="37" t="s">
        <v>941</v>
      </c>
      <c r="C44" s="108" t="s">
        <v>41</v>
      </c>
      <c r="D44" s="108" t="s">
        <v>942</v>
      </c>
      <c r="E44" s="60">
        <v>16</v>
      </c>
      <c r="F44" s="61">
        <v>14</v>
      </c>
      <c r="G44" s="61">
        <v>12</v>
      </c>
      <c r="H44" s="61">
        <v>16</v>
      </c>
      <c r="I44" s="106" t="s">
        <v>153</v>
      </c>
      <c r="J44" s="105" t="s">
        <v>931</v>
      </c>
      <c r="K44" s="31" t="s">
        <v>156</v>
      </c>
      <c r="L44" s="30"/>
      <c r="M44" s="24"/>
      <c r="N44" s="29"/>
      <c r="O44" s="25"/>
    </row>
    <row r="45" spans="1:15" x14ac:dyDescent="0.2">
      <c r="A45" s="23">
        <f>IF(B45="",A27,A27+1)</f>
        <v>25</v>
      </c>
      <c r="B45" s="37" t="s">
        <v>104</v>
      </c>
      <c r="C45" s="38" t="s">
        <v>103</v>
      </c>
      <c r="D45" s="38"/>
      <c r="E45" s="60">
        <v>217</v>
      </c>
      <c r="F45" s="61">
        <v>224</v>
      </c>
      <c r="G45" s="61">
        <v>234</v>
      </c>
      <c r="H45" s="61">
        <v>243</v>
      </c>
      <c r="I45" s="106" t="s">
        <v>93</v>
      </c>
      <c r="J45" s="105" t="s">
        <v>944</v>
      </c>
      <c r="K45" s="31" t="s">
        <v>156</v>
      </c>
      <c r="L45" s="30"/>
      <c r="M45" s="24"/>
      <c r="N45" s="29"/>
      <c r="O45" s="25"/>
    </row>
    <row r="46" spans="1:15" ht="25.5" x14ac:dyDescent="0.2">
      <c r="A46" s="23">
        <f>IF(B46="",A45,A45+1)</f>
        <v>26</v>
      </c>
      <c r="B46" s="37" t="s">
        <v>104</v>
      </c>
      <c r="C46" s="38" t="s">
        <v>103</v>
      </c>
      <c r="D46" s="38"/>
      <c r="E46" s="60">
        <v>217</v>
      </c>
      <c r="F46" s="61">
        <v>224</v>
      </c>
      <c r="G46" s="61">
        <v>234</v>
      </c>
      <c r="H46" s="61">
        <v>243</v>
      </c>
      <c r="I46" s="106" t="s">
        <v>153</v>
      </c>
      <c r="J46" s="105" t="s">
        <v>945</v>
      </c>
      <c r="K46" s="31" t="s">
        <v>157</v>
      </c>
      <c r="L46" s="30" t="s">
        <v>158</v>
      </c>
      <c r="M46" s="24"/>
      <c r="N46" s="29"/>
      <c r="O46" s="25"/>
    </row>
    <row r="47" spans="1:15" ht="13.5" thickBot="1" x14ac:dyDescent="0.25">
      <c r="A47" s="23">
        <f>IF(B47="",A46,A46+1)</f>
        <v>27</v>
      </c>
      <c r="B47" s="78" t="s">
        <v>105</v>
      </c>
      <c r="C47" s="79" t="s">
        <v>103</v>
      </c>
      <c r="D47" s="79" t="s">
        <v>106</v>
      </c>
      <c r="E47" s="80">
        <v>163</v>
      </c>
      <c r="F47" s="70">
        <v>155</v>
      </c>
      <c r="G47" s="70">
        <v>145</v>
      </c>
      <c r="H47" s="70">
        <v>156</v>
      </c>
      <c r="I47" s="72" t="s">
        <v>153</v>
      </c>
      <c r="J47" s="73" t="s">
        <v>946</v>
      </c>
      <c r="K47" s="74" t="s">
        <v>156</v>
      </c>
      <c r="L47" s="75"/>
      <c r="M47" s="71"/>
      <c r="N47" s="77"/>
      <c r="O47" s="76"/>
    </row>
    <row r="48" spans="1:15" x14ac:dyDescent="0.2">
      <c r="E48" s="1"/>
      <c r="F48" s="1"/>
      <c r="G48" s="1"/>
      <c r="H48" s="1"/>
    </row>
    <row r="49" spans="5:8" x14ac:dyDescent="0.2">
      <c r="E49" s="1"/>
      <c r="F49" s="1"/>
      <c r="G49" s="1"/>
      <c r="H49" s="1"/>
    </row>
    <row r="50" spans="5:8" x14ac:dyDescent="0.2">
      <c r="E50" s="1"/>
      <c r="F50" s="1"/>
      <c r="G50" s="1"/>
      <c r="H50" s="1"/>
    </row>
    <row r="51" spans="5:8" x14ac:dyDescent="0.2">
      <c r="E51" s="1"/>
      <c r="F51" s="1"/>
      <c r="G51" s="1"/>
      <c r="H51" s="1"/>
    </row>
    <row r="52" spans="5:8" x14ac:dyDescent="0.2">
      <c r="E52" s="1"/>
      <c r="F52" s="1"/>
      <c r="G52" s="1"/>
      <c r="H52" s="1"/>
    </row>
    <row r="53" spans="5:8" x14ac:dyDescent="0.2">
      <c r="E53" s="1"/>
      <c r="F53" s="1"/>
      <c r="G53" s="1"/>
      <c r="H53" s="1"/>
    </row>
    <row r="54" spans="5:8" x14ac:dyDescent="0.2">
      <c r="E54" s="1"/>
      <c r="F54" s="1"/>
      <c r="G54" s="1"/>
      <c r="H54" s="1"/>
    </row>
    <row r="55" spans="5:8" x14ac:dyDescent="0.2">
      <c r="E55" s="1"/>
      <c r="F55" s="1"/>
      <c r="G55" s="1"/>
      <c r="H55" s="1"/>
    </row>
    <row r="56" spans="5:8" x14ac:dyDescent="0.2">
      <c r="E56" s="1"/>
      <c r="F56" s="1"/>
      <c r="G56" s="1"/>
      <c r="H56" s="1"/>
    </row>
    <row r="57" spans="5:8" x14ac:dyDescent="0.2">
      <c r="E57" s="1"/>
      <c r="F57" s="1"/>
      <c r="G57" s="1"/>
      <c r="H57" s="1"/>
    </row>
    <row r="58" spans="5:8" x14ac:dyDescent="0.2">
      <c r="E58" s="1"/>
      <c r="F58" s="1"/>
      <c r="G58" s="1"/>
      <c r="H58" s="1"/>
    </row>
    <row r="59" spans="5:8" x14ac:dyDescent="0.2">
      <c r="E59" s="1"/>
      <c r="F59" s="1"/>
      <c r="G59" s="1"/>
      <c r="H59" s="1"/>
    </row>
    <row r="60" spans="5:8" x14ac:dyDescent="0.2">
      <c r="E60" s="1"/>
      <c r="F60" s="1"/>
      <c r="G60" s="1"/>
      <c r="H60" s="1"/>
    </row>
    <row r="61" spans="5:8" x14ac:dyDescent="0.2">
      <c r="E61" s="1"/>
      <c r="F61" s="1"/>
      <c r="G61" s="1"/>
      <c r="H61" s="1"/>
    </row>
    <row r="62" spans="5:8" x14ac:dyDescent="0.2">
      <c r="E62" s="1"/>
      <c r="F62" s="1"/>
      <c r="G62" s="1"/>
      <c r="H62" s="1"/>
    </row>
    <row r="63" spans="5:8" x14ac:dyDescent="0.2">
      <c r="E63" s="1"/>
      <c r="F63" s="1"/>
      <c r="G63" s="1"/>
      <c r="H63" s="1"/>
    </row>
    <row r="64" spans="5:8" x14ac:dyDescent="0.2">
      <c r="E64" s="1"/>
      <c r="F64" s="1"/>
      <c r="G64" s="1"/>
      <c r="H64" s="1"/>
    </row>
    <row r="65" spans="5:8" x14ac:dyDescent="0.2">
      <c r="E65" s="1"/>
      <c r="F65" s="1"/>
      <c r="G65" s="1"/>
      <c r="H65" s="1"/>
    </row>
    <row r="66" spans="5:8" x14ac:dyDescent="0.2">
      <c r="E66" s="1"/>
      <c r="F66" s="1"/>
      <c r="G66" s="1"/>
      <c r="H66" s="1"/>
    </row>
    <row r="67" spans="5:8" x14ac:dyDescent="0.2">
      <c r="E67" s="1"/>
      <c r="F67" s="1"/>
      <c r="G67" s="1"/>
      <c r="H67" s="1"/>
    </row>
    <row r="68" spans="5:8" x14ac:dyDescent="0.2">
      <c r="E68" s="1"/>
      <c r="F68" s="1"/>
      <c r="G68" s="1"/>
      <c r="H68" s="1"/>
    </row>
    <row r="69" spans="5:8" x14ac:dyDescent="0.2">
      <c r="E69" s="1"/>
      <c r="F69" s="1"/>
      <c r="G69" s="1"/>
      <c r="H69" s="1"/>
    </row>
    <row r="70" spans="5:8" x14ac:dyDescent="0.2">
      <c r="E70" s="1"/>
      <c r="F70" s="1"/>
      <c r="G70" s="1"/>
      <c r="H70" s="1"/>
    </row>
    <row r="71" spans="5:8" x14ac:dyDescent="0.2">
      <c r="E71" s="1"/>
      <c r="F71" s="1"/>
      <c r="G71" s="1"/>
      <c r="H71" s="1"/>
    </row>
    <row r="72" spans="5:8" x14ac:dyDescent="0.2">
      <c r="E72" s="1"/>
      <c r="F72" s="1"/>
      <c r="G72" s="1"/>
      <c r="H72" s="1"/>
    </row>
    <row r="73" spans="5:8" x14ac:dyDescent="0.2">
      <c r="E73" s="1"/>
      <c r="F73" s="1"/>
      <c r="G73" s="1"/>
      <c r="H73" s="1"/>
    </row>
    <row r="74" spans="5:8" x14ac:dyDescent="0.2">
      <c r="E74" s="1"/>
      <c r="F74" s="1"/>
      <c r="G74" s="1"/>
      <c r="H74" s="1"/>
    </row>
    <row r="75" spans="5:8" x14ac:dyDescent="0.2">
      <c r="E75" s="1"/>
      <c r="F75" s="1"/>
      <c r="G75" s="1"/>
      <c r="H75" s="1"/>
    </row>
    <row r="76" spans="5:8" x14ac:dyDescent="0.2">
      <c r="E76" s="1"/>
      <c r="F76" s="1"/>
      <c r="G76" s="1"/>
      <c r="H76" s="1"/>
    </row>
    <row r="77" spans="5:8" x14ac:dyDescent="0.2">
      <c r="E77" s="1"/>
      <c r="F77" s="1"/>
      <c r="G77" s="1"/>
      <c r="H77" s="1"/>
    </row>
    <row r="78" spans="5:8" x14ac:dyDescent="0.2">
      <c r="E78" s="1"/>
      <c r="F78" s="1"/>
      <c r="G78" s="1"/>
      <c r="H78" s="1"/>
    </row>
    <row r="79" spans="5:8" x14ac:dyDescent="0.2">
      <c r="E79" s="1"/>
      <c r="F79" s="1"/>
      <c r="G79" s="1"/>
      <c r="H79" s="1"/>
    </row>
    <row r="80" spans="5:8" x14ac:dyDescent="0.2">
      <c r="E80" s="1"/>
      <c r="F80" s="1"/>
      <c r="G80" s="1"/>
      <c r="H80" s="1"/>
    </row>
    <row r="81" spans="5:8" x14ac:dyDescent="0.2">
      <c r="E81" s="1"/>
      <c r="F81" s="1"/>
      <c r="G81" s="1"/>
      <c r="H81" s="1"/>
    </row>
    <row r="82" spans="5:8" x14ac:dyDescent="0.2">
      <c r="E82" s="1"/>
      <c r="F82" s="1"/>
      <c r="G82" s="1"/>
      <c r="H82" s="1"/>
    </row>
    <row r="83" spans="5:8" x14ac:dyDescent="0.2">
      <c r="E83" s="1"/>
      <c r="F83" s="1"/>
      <c r="G83" s="1"/>
      <c r="H83" s="1"/>
    </row>
    <row r="84" spans="5:8" x14ac:dyDescent="0.2">
      <c r="E84" s="1"/>
      <c r="F84" s="1"/>
      <c r="G84" s="1"/>
      <c r="H84" s="1"/>
    </row>
    <row r="85" spans="5:8" x14ac:dyDescent="0.2">
      <c r="E85" s="1"/>
      <c r="F85" s="1"/>
      <c r="G85" s="1"/>
      <c r="H85" s="1"/>
    </row>
    <row r="86" spans="5:8" x14ac:dyDescent="0.2">
      <c r="E86" s="1"/>
      <c r="F86" s="1"/>
      <c r="G86" s="1"/>
      <c r="H86" s="1"/>
    </row>
    <row r="87" spans="5:8" x14ac:dyDescent="0.2">
      <c r="E87" s="1"/>
      <c r="F87" s="1"/>
      <c r="G87" s="1"/>
      <c r="H87" s="1"/>
    </row>
    <row r="88" spans="5:8" x14ac:dyDescent="0.2">
      <c r="E88" s="1"/>
      <c r="F88" s="1"/>
      <c r="G88" s="1"/>
      <c r="H88" s="1"/>
    </row>
    <row r="89" spans="5:8" x14ac:dyDescent="0.2">
      <c r="E89" s="1"/>
      <c r="F89" s="1"/>
      <c r="G89" s="1"/>
      <c r="H89" s="1"/>
    </row>
    <row r="90" spans="5:8" x14ac:dyDescent="0.2">
      <c r="E90" s="1"/>
      <c r="F90" s="1"/>
      <c r="G90" s="1"/>
      <c r="H90" s="1"/>
    </row>
    <row r="91" spans="5:8" x14ac:dyDescent="0.2">
      <c r="E91" s="1"/>
      <c r="F91" s="1"/>
      <c r="G91" s="1"/>
      <c r="H91" s="1"/>
    </row>
    <row r="92" spans="5:8" x14ac:dyDescent="0.2">
      <c r="E92" s="1"/>
      <c r="F92" s="1"/>
      <c r="G92" s="1"/>
      <c r="H92" s="1"/>
    </row>
    <row r="93" spans="5:8" x14ac:dyDescent="0.2">
      <c r="E93" s="1"/>
      <c r="F93" s="1"/>
      <c r="G93" s="1"/>
      <c r="H93" s="1"/>
    </row>
    <row r="94" spans="5:8" x14ac:dyDescent="0.2">
      <c r="E94" s="1"/>
      <c r="F94" s="1"/>
      <c r="G94" s="1"/>
      <c r="H94" s="1"/>
    </row>
    <row r="95" spans="5:8" x14ac:dyDescent="0.2">
      <c r="E95" s="1"/>
      <c r="F95" s="1"/>
      <c r="G95" s="1"/>
      <c r="H95" s="1"/>
    </row>
    <row r="96" spans="5:8" x14ac:dyDescent="0.2">
      <c r="E96" s="1"/>
      <c r="F96" s="1"/>
      <c r="G96" s="1"/>
      <c r="H96" s="1"/>
    </row>
    <row r="97" spans="5:8" x14ac:dyDescent="0.2">
      <c r="E97" s="1"/>
      <c r="F97" s="1"/>
      <c r="G97" s="1"/>
      <c r="H97" s="1"/>
    </row>
    <row r="98" spans="5:8" x14ac:dyDescent="0.2">
      <c r="E98" s="1"/>
      <c r="F98" s="1"/>
      <c r="G98" s="1"/>
      <c r="H98" s="1"/>
    </row>
    <row r="99" spans="5:8" x14ac:dyDescent="0.2">
      <c r="E99" s="1"/>
      <c r="F99" s="1"/>
      <c r="G99" s="1"/>
      <c r="H99" s="1"/>
    </row>
    <row r="100" spans="5:8" x14ac:dyDescent="0.2">
      <c r="E100" s="1"/>
      <c r="F100" s="1"/>
      <c r="G100" s="1"/>
      <c r="H100" s="1"/>
    </row>
    <row r="101" spans="5:8" x14ac:dyDescent="0.2">
      <c r="E101" s="1"/>
      <c r="F101" s="1"/>
      <c r="G101" s="1"/>
      <c r="H101" s="1"/>
    </row>
    <row r="102" spans="5:8" x14ac:dyDescent="0.2">
      <c r="E102" s="1"/>
      <c r="F102" s="1"/>
      <c r="G102" s="1"/>
      <c r="H102" s="1"/>
    </row>
    <row r="103" spans="5:8" x14ac:dyDescent="0.2">
      <c r="E103" s="1"/>
      <c r="F103" s="1"/>
      <c r="G103" s="1"/>
      <c r="H103" s="1"/>
    </row>
    <row r="104" spans="5:8" x14ac:dyDescent="0.2">
      <c r="E104" s="1"/>
      <c r="F104" s="1"/>
      <c r="G104" s="1"/>
      <c r="H104" s="1"/>
    </row>
    <row r="105" spans="5:8" x14ac:dyDescent="0.2">
      <c r="E105" s="1"/>
      <c r="F105" s="1"/>
      <c r="G105" s="1"/>
      <c r="H105" s="1"/>
    </row>
    <row r="106" spans="5:8" x14ac:dyDescent="0.2">
      <c r="E106" s="1"/>
      <c r="F106" s="1"/>
      <c r="G106" s="1"/>
      <c r="H106" s="1"/>
    </row>
    <row r="107" spans="5:8" x14ac:dyDescent="0.2">
      <c r="E107" s="1"/>
      <c r="F107" s="1"/>
      <c r="G107" s="1"/>
      <c r="H107" s="1"/>
    </row>
    <row r="108" spans="5:8" x14ac:dyDescent="0.2">
      <c r="E108" s="1"/>
      <c r="F108" s="1"/>
      <c r="G108" s="1"/>
      <c r="H108" s="1"/>
    </row>
    <row r="109" spans="5:8" x14ac:dyDescent="0.2">
      <c r="E109" s="1"/>
      <c r="F109" s="1"/>
      <c r="G109" s="1"/>
      <c r="H109" s="1"/>
    </row>
    <row r="110" spans="5:8" x14ac:dyDescent="0.2">
      <c r="E110" s="1"/>
      <c r="F110" s="1"/>
      <c r="G110" s="1"/>
      <c r="H110" s="1"/>
    </row>
    <row r="111" spans="5:8" x14ac:dyDescent="0.2">
      <c r="E111" s="1"/>
      <c r="F111" s="1"/>
      <c r="G111" s="1"/>
      <c r="H111" s="1"/>
    </row>
    <row r="112" spans="5:8" x14ac:dyDescent="0.2">
      <c r="E112" s="1"/>
      <c r="F112" s="1"/>
      <c r="G112" s="1"/>
      <c r="H112" s="1"/>
    </row>
    <row r="113" spans="5:8" x14ac:dyDescent="0.2">
      <c r="E113" s="1"/>
      <c r="F113" s="1"/>
      <c r="G113" s="1"/>
      <c r="H113" s="1"/>
    </row>
    <row r="114" spans="5:8" x14ac:dyDescent="0.2">
      <c r="E114" s="1"/>
      <c r="F114" s="1"/>
      <c r="G114" s="1"/>
      <c r="H114" s="1"/>
    </row>
    <row r="115" spans="5:8" x14ac:dyDescent="0.2">
      <c r="E115" s="1"/>
      <c r="F115" s="1"/>
      <c r="G115" s="1"/>
      <c r="H115" s="1"/>
    </row>
    <row r="116" spans="5:8" x14ac:dyDescent="0.2">
      <c r="E116" s="1"/>
      <c r="F116" s="1"/>
      <c r="G116" s="1"/>
      <c r="H116" s="1"/>
    </row>
    <row r="117" spans="5:8" x14ac:dyDescent="0.2">
      <c r="E117" s="1"/>
      <c r="F117" s="1"/>
      <c r="G117" s="1"/>
      <c r="H117" s="1"/>
    </row>
    <row r="118" spans="5:8" x14ac:dyDescent="0.2">
      <c r="E118" s="1"/>
      <c r="F118" s="1"/>
      <c r="G118" s="1"/>
      <c r="H118" s="1"/>
    </row>
    <row r="119" spans="5:8" x14ac:dyDescent="0.2">
      <c r="E119" s="1"/>
      <c r="F119" s="1"/>
      <c r="G119" s="1"/>
      <c r="H119" s="1"/>
    </row>
    <row r="120" spans="5:8" x14ac:dyDescent="0.2">
      <c r="E120" s="1"/>
      <c r="F120" s="1"/>
      <c r="G120" s="1"/>
      <c r="H120" s="1"/>
    </row>
    <row r="121" spans="5:8" x14ac:dyDescent="0.2">
      <c r="E121" s="1"/>
      <c r="F121" s="1"/>
      <c r="G121" s="1"/>
      <c r="H121" s="1"/>
    </row>
  </sheetData>
  <autoFilter ref="A3:O47"/>
  <mergeCells count="2">
    <mergeCell ref="M1:N1"/>
    <mergeCell ref="E1:H1"/>
  </mergeCells>
  <phoneticPr fontId="2" type="noConversion"/>
  <conditionalFormatting sqref="A4:A7 A46:A47 A9:A44">
    <cfRule type="cellIs" dxfId="85" priority="2" stopIfTrue="1" operator="equal">
      <formula>A3</formula>
    </cfRule>
  </conditionalFormatting>
  <conditionalFormatting sqref="N4:N26 N41:N47">
    <cfRule type="cellIs" dxfId="84" priority="3" stopIfTrue="1" operator="equal">
      <formula>0</formula>
    </cfRule>
  </conditionalFormatting>
  <conditionalFormatting sqref="A3">
    <cfRule type="cellIs" dxfId="83" priority="4" stopIfTrue="1" operator="equal">
      <formula>#REF!</formula>
    </cfRule>
  </conditionalFormatting>
  <conditionalFormatting sqref="A25 A13 A8:A10">
    <cfRule type="cellIs" dxfId="82" priority="1" stopIfTrue="1" operator="equal">
      <formula>#REF!</formula>
    </cfRule>
  </conditionalFormatting>
  <conditionalFormatting sqref="A47">
    <cfRule type="cellIs" dxfId="81" priority="6" stopIfTrue="1" operator="equal">
      <formula>#REF!</formula>
    </cfRule>
  </conditionalFormatting>
  <conditionalFormatting sqref="A45">
    <cfRule type="cellIs" dxfId="80" priority="8" stopIfTrue="1" operator="equal">
      <formula>A27</formula>
    </cfRule>
  </conditionalFormatting>
  <conditionalFormatting sqref="A38:A40">
    <cfRule type="cellIs" dxfId="79" priority="10" stopIfTrue="1" operator="equal">
      <formula>A34</formula>
    </cfRule>
  </conditionalFormatting>
  <conditionalFormatting sqref="A41">
    <cfRule type="cellIs" dxfId="78" priority="11" stopIfTrue="1" operator="equal">
      <formula>A38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zoomScale="90" zoomScaleNormal="90" zoomScaleSheetLayoutView="90" workbookViewId="0">
      <selection activeCell="J1" sqref="J1"/>
    </sheetView>
  </sheetViews>
  <sheetFormatPr defaultRowHeight="12.75" x14ac:dyDescent="0.2"/>
  <cols>
    <col min="1" max="1" width="4.42578125" style="1" customWidth="1"/>
    <col min="2" max="2" width="13.140625" style="1" customWidth="1"/>
    <col min="3" max="3" width="16.5703125" style="1" customWidth="1"/>
    <col min="4" max="4" width="12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5703125" style="1" customWidth="1"/>
    <col min="13" max="13" width="8.85546875" style="1" customWidth="1"/>
    <col min="14" max="14" width="10.5703125" style="1" customWidth="1"/>
    <col min="15" max="15" width="11.42578125" style="1" customWidth="1"/>
    <col min="16" max="16" width="4.42578125" style="1" customWidth="1"/>
    <col min="17" max="29" width="9.140625" style="1"/>
    <col min="30" max="30" width="10.140625" style="1" bestFit="1" customWidth="1"/>
    <col min="31" max="31" width="10.140625" style="1" customWidth="1"/>
    <col min="32" max="32" width="11.42578125" style="1" bestFit="1" customWidth="1"/>
    <col min="33" max="33" width="9.140625" style="1"/>
    <col min="34" max="34" width="12.28515625" style="1" bestFit="1" customWidth="1"/>
    <col min="35" max="16384" width="9.140625" style="1"/>
  </cols>
  <sheetData>
    <row r="1" spans="1:62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0"/>
      <c r="AC1" s="9"/>
      <c r="AD1" s="9"/>
      <c r="AE1" s="9"/>
      <c r="AF1" s="9"/>
      <c r="AG1" s="9"/>
      <c r="AH1" s="9"/>
    </row>
    <row r="2" spans="1:62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62" s="3" customFormat="1" ht="13.5" thickBot="1" x14ac:dyDescent="0.25">
      <c r="A3" s="54"/>
      <c r="B3" s="55"/>
      <c r="C3" s="55" t="s">
        <v>42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s="3" customFormat="1" ht="25.5" x14ac:dyDescent="0.2">
      <c r="A4" s="23">
        <f>IF(B4="",A2,A2+1)</f>
        <v>1</v>
      </c>
      <c r="B4" s="107" t="s">
        <v>756</v>
      </c>
      <c r="C4" s="108" t="s">
        <v>757</v>
      </c>
      <c r="D4" s="38"/>
      <c r="E4" s="60">
        <v>629</v>
      </c>
      <c r="F4" s="61">
        <v>645</v>
      </c>
      <c r="G4" s="61">
        <v>664</v>
      </c>
      <c r="H4" s="61">
        <v>739</v>
      </c>
      <c r="I4" s="106" t="s">
        <v>93</v>
      </c>
      <c r="J4" s="105" t="s">
        <v>772</v>
      </c>
      <c r="K4" s="31" t="s">
        <v>157</v>
      </c>
      <c r="L4" s="30" t="s">
        <v>158</v>
      </c>
      <c r="M4" s="24"/>
      <c r="N4" s="29">
        <v>8.3000000000000007</v>
      </c>
      <c r="O4" s="25">
        <f>N4*1000/H4</f>
        <v>11.231393775372124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s="3" customFormat="1" ht="25.5" x14ac:dyDescent="0.2">
      <c r="A5" s="23">
        <f t="shared" ref="A5:A35" si="0">IF(B5="",A4,A4+1)</f>
        <v>2</v>
      </c>
      <c r="B5" s="107" t="s">
        <v>756</v>
      </c>
      <c r="C5" s="108" t="s">
        <v>757</v>
      </c>
      <c r="D5" s="38"/>
      <c r="E5" s="60">
        <v>629</v>
      </c>
      <c r="F5" s="61">
        <v>645</v>
      </c>
      <c r="G5" s="61">
        <v>664</v>
      </c>
      <c r="H5" s="61">
        <v>739</v>
      </c>
      <c r="I5" s="106" t="s">
        <v>153</v>
      </c>
      <c r="J5" s="105" t="s">
        <v>773</v>
      </c>
      <c r="K5" s="31" t="s">
        <v>157</v>
      </c>
      <c r="L5" s="30" t="s">
        <v>158</v>
      </c>
      <c r="M5" s="24"/>
      <c r="N5" s="29">
        <v>29</v>
      </c>
      <c r="O5" s="25">
        <f>N5*1000/H5</f>
        <v>39.242219215155615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s="3" customFormat="1" ht="25.5" x14ac:dyDescent="0.2">
      <c r="A6" s="23">
        <f t="shared" si="0"/>
        <v>3</v>
      </c>
      <c r="B6" s="107" t="s">
        <v>759</v>
      </c>
      <c r="C6" s="108" t="s">
        <v>757</v>
      </c>
      <c r="D6" s="108" t="s">
        <v>758</v>
      </c>
      <c r="E6" s="60">
        <v>35</v>
      </c>
      <c r="F6" s="61">
        <v>32</v>
      </c>
      <c r="G6" s="61">
        <v>30</v>
      </c>
      <c r="H6" s="61">
        <v>29</v>
      </c>
      <c r="I6" s="106" t="s">
        <v>93</v>
      </c>
      <c r="J6" s="105" t="s">
        <v>771</v>
      </c>
      <c r="K6" s="31" t="s">
        <v>157</v>
      </c>
      <c r="L6" s="30" t="s">
        <v>158</v>
      </c>
      <c r="M6" s="24"/>
      <c r="N6" s="29">
        <v>0.12</v>
      </c>
      <c r="O6" s="25">
        <f>N6*1000/H6</f>
        <v>4.1379310344827589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25.5" x14ac:dyDescent="0.2">
      <c r="A7" s="23">
        <f t="shared" si="0"/>
        <v>4</v>
      </c>
      <c r="B7" s="107" t="s">
        <v>759</v>
      </c>
      <c r="C7" s="108" t="s">
        <v>757</v>
      </c>
      <c r="D7" s="108" t="s">
        <v>758</v>
      </c>
      <c r="E7" s="60">
        <v>35</v>
      </c>
      <c r="F7" s="61">
        <v>32</v>
      </c>
      <c r="G7" s="61">
        <v>30</v>
      </c>
      <c r="H7" s="61">
        <v>29</v>
      </c>
      <c r="I7" s="106" t="s">
        <v>153</v>
      </c>
      <c r="J7" s="105" t="s">
        <v>774</v>
      </c>
      <c r="K7" s="31" t="s">
        <v>157</v>
      </c>
      <c r="L7" s="30" t="s">
        <v>158</v>
      </c>
      <c r="M7" s="24"/>
      <c r="N7" s="29"/>
      <c r="O7" s="25"/>
    </row>
    <row r="8" spans="1:62" ht="38.25" x14ac:dyDescent="0.2">
      <c r="A8" s="23">
        <f t="shared" si="0"/>
        <v>5</v>
      </c>
      <c r="B8" s="107" t="s">
        <v>760</v>
      </c>
      <c r="C8" s="108" t="s">
        <v>761</v>
      </c>
      <c r="D8" s="38"/>
      <c r="E8" s="60">
        <v>61</v>
      </c>
      <c r="F8" s="61">
        <v>62</v>
      </c>
      <c r="G8" s="61">
        <v>63</v>
      </c>
      <c r="H8" s="61">
        <v>64</v>
      </c>
      <c r="I8" s="106" t="s">
        <v>93</v>
      </c>
      <c r="J8" s="105" t="s">
        <v>765</v>
      </c>
      <c r="K8" s="31" t="s">
        <v>157</v>
      </c>
      <c r="L8" s="30" t="s">
        <v>224</v>
      </c>
      <c r="M8" s="24"/>
      <c r="N8" s="29"/>
      <c r="O8" s="25"/>
    </row>
    <row r="9" spans="1:62" ht="51" x14ac:dyDescent="0.2">
      <c r="A9" s="23">
        <f t="shared" si="0"/>
        <v>6</v>
      </c>
      <c r="B9" s="37" t="s">
        <v>254</v>
      </c>
      <c r="C9" s="38" t="s">
        <v>32</v>
      </c>
      <c r="D9" s="38"/>
      <c r="E9" s="60">
        <v>113</v>
      </c>
      <c r="F9" s="61">
        <v>133</v>
      </c>
      <c r="G9" s="61">
        <v>243</v>
      </c>
      <c r="H9" s="61">
        <v>184</v>
      </c>
      <c r="I9" s="27" t="s">
        <v>93</v>
      </c>
      <c r="J9" s="105" t="s">
        <v>762</v>
      </c>
      <c r="K9" s="31" t="s">
        <v>157</v>
      </c>
      <c r="L9" s="30" t="s">
        <v>158</v>
      </c>
      <c r="M9" s="24"/>
      <c r="N9" s="29"/>
      <c r="O9" s="25"/>
    </row>
    <row r="10" spans="1:62" ht="38.25" x14ac:dyDescent="0.2">
      <c r="A10" s="23">
        <f t="shared" si="0"/>
        <v>7</v>
      </c>
      <c r="B10" s="107" t="s">
        <v>763</v>
      </c>
      <c r="C10" s="108" t="s">
        <v>764</v>
      </c>
      <c r="D10" s="38"/>
      <c r="E10" s="60">
        <v>62</v>
      </c>
      <c r="F10" s="61">
        <v>66</v>
      </c>
      <c r="G10" s="61">
        <v>70</v>
      </c>
      <c r="H10" s="61">
        <v>75</v>
      </c>
      <c r="I10" s="106" t="s">
        <v>93</v>
      </c>
      <c r="J10" s="105" t="s">
        <v>765</v>
      </c>
      <c r="K10" s="31" t="s">
        <v>157</v>
      </c>
      <c r="L10" s="30" t="s">
        <v>224</v>
      </c>
      <c r="M10" s="24"/>
      <c r="N10" s="29"/>
      <c r="O10" s="25"/>
    </row>
    <row r="11" spans="1:62" x14ac:dyDescent="0.2">
      <c r="A11" s="23">
        <f t="shared" si="0"/>
        <v>8</v>
      </c>
      <c r="B11" s="37" t="s">
        <v>140</v>
      </c>
      <c r="C11" s="38" t="s">
        <v>181</v>
      </c>
      <c r="D11" s="38"/>
      <c r="E11" s="60">
        <v>84</v>
      </c>
      <c r="F11" s="61">
        <v>87</v>
      </c>
      <c r="G11" s="61">
        <v>143</v>
      </c>
      <c r="H11" s="61">
        <v>143</v>
      </c>
      <c r="I11" s="106" t="s">
        <v>93</v>
      </c>
      <c r="J11" s="105" t="s">
        <v>414</v>
      </c>
      <c r="K11" s="31" t="s">
        <v>157</v>
      </c>
      <c r="L11" s="30" t="s">
        <v>224</v>
      </c>
      <c r="M11" s="24"/>
      <c r="N11" s="29"/>
      <c r="O11" s="25"/>
    </row>
    <row r="12" spans="1:62" ht="25.5" x14ac:dyDescent="0.2">
      <c r="A12" s="23">
        <f t="shared" si="0"/>
        <v>9</v>
      </c>
      <c r="B12" s="107" t="s">
        <v>140</v>
      </c>
      <c r="C12" s="38" t="s">
        <v>181</v>
      </c>
      <c r="D12" s="38"/>
      <c r="E12" s="60">
        <v>84</v>
      </c>
      <c r="F12" s="61">
        <v>87</v>
      </c>
      <c r="G12" s="61">
        <v>143</v>
      </c>
      <c r="H12" s="61">
        <v>143</v>
      </c>
      <c r="I12" s="27" t="s">
        <v>153</v>
      </c>
      <c r="J12" s="105" t="s">
        <v>766</v>
      </c>
      <c r="K12" s="31" t="s">
        <v>157</v>
      </c>
      <c r="L12" s="30" t="s">
        <v>158</v>
      </c>
      <c r="M12" s="24"/>
      <c r="N12" s="29"/>
      <c r="O12" s="25"/>
    </row>
    <row r="13" spans="1:62" ht="25.5" x14ac:dyDescent="0.2">
      <c r="A13" s="23">
        <f t="shared" si="0"/>
        <v>10</v>
      </c>
      <c r="B13" s="107" t="s">
        <v>767</v>
      </c>
      <c r="C13" s="108" t="s">
        <v>768</v>
      </c>
      <c r="D13" s="38"/>
      <c r="E13" s="60">
        <v>120</v>
      </c>
      <c r="F13" s="61">
        <v>111</v>
      </c>
      <c r="G13" s="61">
        <v>100</v>
      </c>
      <c r="H13" s="61">
        <v>89</v>
      </c>
      <c r="I13" s="106" t="s">
        <v>93</v>
      </c>
      <c r="J13" s="105" t="s">
        <v>775</v>
      </c>
      <c r="K13" s="31" t="s">
        <v>157</v>
      </c>
      <c r="L13" s="30" t="s">
        <v>224</v>
      </c>
      <c r="M13" s="24"/>
      <c r="N13" s="29"/>
      <c r="O13" s="25"/>
    </row>
    <row r="14" spans="1:62" x14ac:dyDescent="0.2">
      <c r="A14" s="23">
        <f t="shared" si="0"/>
        <v>11</v>
      </c>
      <c r="B14" s="107" t="s">
        <v>767</v>
      </c>
      <c r="C14" s="108" t="s">
        <v>768</v>
      </c>
      <c r="D14" s="38"/>
      <c r="E14" s="60">
        <v>120</v>
      </c>
      <c r="F14" s="61">
        <v>111</v>
      </c>
      <c r="G14" s="61">
        <v>100</v>
      </c>
      <c r="H14" s="61">
        <v>89</v>
      </c>
      <c r="I14" s="106" t="s">
        <v>153</v>
      </c>
      <c r="J14" s="105" t="s">
        <v>776</v>
      </c>
      <c r="K14" s="31" t="s">
        <v>157</v>
      </c>
      <c r="L14" s="30" t="s">
        <v>158</v>
      </c>
      <c r="M14" s="24"/>
      <c r="N14" s="29">
        <v>10</v>
      </c>
      <c r="O14" s="25">
        <f>N14*1000/H14</f>
        <v>112.35955056179775</v>
      </c>
    </row>
    <row r="15" spans="1:62" ht="25.5" x14ac:dyDescent="0.2">
      <c r="A15" s="23">
        <f t="shared" si="0"/>
        <v>12</v>
      </c>
      <c r="B15" s="107" t="s">
        <v>769</v>
      </c>
      <c r="C15" s="108" t="s">
        <v>770</v>
      </c>
      <c r="D15" s="38"/>
      <c r="E15" s="60"/>
      <c r="F15" s="61"/>
      <c r="G15" s="61"/>
      <c r="H15" s="61"/>
      <c r="I15" s="106" t="s">
        <v>93</v>
      </c>
      <c r="J15" s="105" t="s">
        <v>777</v>
      </c>
      <c r="K15" s="31" t="s">
        <v>157</v>
      </c>
      <c r="L15" s="30" t="s">
        <v>158</v>
      </c>
      <c r="M15" s="24"/>
      <c r="N15" s="29"/>
      <c r="O15" s="25"/>
    </row>
    <row r="16" spans="1:62" ht="25.5" x14ac:dyDescent="0.2">
      <c r="A16" s="23">
        <f t="shared" si="0"/>
        <v>13</v>
      </c>
      <c r="B16" s="107" t="s">
        <v>769</v>
      </c>
      <c r="C16" s="108" t="s">
        <v>770</v>
      </c>
      <c r="D16" s="38"/>
      <c r="E16" s="60"/>
      <c r="F16" s="61"/>
      <c r="G16" s="61"/>
      <c r="H16" s="61"/>
      <c r="I16" s="106" t="s">
        <v>153</v>
      </c>
      <c r="J16" s="105" t="s">
        <v>774</v>
      </c>
      <c r="K16" s="31" t="s">
        <v>157</v>
      </c>
      <c r="L16" s="30" t="s">
        <v>158</v>
      </c>
      <c r="M16" s="24"/>
      <c r="N16" s="29"/>
      <c r="O16" s="25"/>
    </row>
    <row r="17" spans="1:15" x14ac:dyDescent="0.2">
      <c r="A17" s="23">
        <f t="shared" si="0"/>
        <v>14</v>
      </c>
      <c r="B17" s="107" t="s">
        <v>255</v>
      </c>
      <c r="C17" s="108" t="s">
        <v>31</v>
      </c>
      <c r="D17" s="38"/>
      <c r="E17" s="60">
        <v>165</v>
      </c>
      <c r="F17" s="61">
        <v>158</v>
      </c>
      <c r="G17" s="61">
        <v>149</v>
      </c>
      <c r="H17" s="61">
        <v>140</v>
      </c>
      <c r="I17" s="106" t="s">
        <v>153</v>
      </c>
      <c r="J17" s="105" t="s">
        <v>778</v>
      </c>
      <c r="K17" s="31" t="s">
        <v>157</v>
      </c>
      <c r="L17" s="30" t="s">
        <v>224</v>
      </c>
      <c r="M17" s="24"/>
      <c r="N17" s="29"/>
      <c r="O17" s="25"/>
    </row>
    <row r="18" spans="1:15" ht="41.25" customHeight="1" x14ac:dyDescent="0.2">
      <c r="A18" s="23">
        <f t="shared" si="0"/>
        <v>15</v>
      </c>
      <c r="B18" s="107" t="s">
        <v>779</v>
      </c>
      <c r="C18" s="108" t="s">
        <v>780</v>
      </c>
      <c r="D18" s="38"/>
      <c r="E18" s="60">
        <v>407</v>
      </c>
      <c r="F18" s="61">
        <v>404</v>
      </c>
      <c r="G18" s="61">
        <v>401</v>
      </c>
      <c r="H18" s="61">
        <v>397</v>
      </c>
      <c r="I18" s="106" t="s">
        <v>93</v>
      </c>
      <c r="J18" s="105" t="s">
        <v>783</v>
      </c>
      <c r="K18" s="31" t="s">
        <v>157</v>
      </c>
      <c r="L18" s="30" t="s">
        <v>224</v>
      </c>
      <c r="M18" s="24"/>
      <c r="N18" s="29">
        <v>3.12</v>
      </c>
      <c r="O18" s="25">
        <f>N18*1000/H18</f>
        <v>7.8589420654911839</v>
      </c>
    </row>
    <row r="19" spans="1:15" ht="25.5" x14ac:dyDescent="0.2">
      <c r="A19" s="23">
        <f t="shared" si="0"/>
        <v>16</v>
      </c>
      <c r="B19" s="107" t="s">
        <v>779</v>
      </c>
      <c r="C19" s="108" t="s">
        <v>780</v>
      </c>
      <c r="D19" s="38"/>
      <c r="E19" s="60">
        <v>407</v>
      </c>
      <c r="F19" s="61">
        <v>404</v>
      </c>
      <c r="G19" s="61">
        <v>401</v>
      </c>
      <c r="H19" s="61">
        <v>397</v>
      </c>
      <c r="I19" s="106" t="s">
        <v>153</v>
      </c>
      <c r="J19" s="105" t="s">
        <v>782</v>
      </c>
      <c r="K19" s="31" t="s">
        <v>157</v>
      </c>
      <c r="L19" s="30" t="s">
        <v>224</v>
      </c>
      <c r="M19" s="24"/>
      <c r="N19" s="29">
        <v>1.988</v>
      </c>
      <c r="O19" s="25">
        <f>N19*1000/H19</f>
        <v>5.0075566750629719</v>
      </c>
    </row>
    <row r="20" spans="1:15" ht="25.5" x14ac:dyDescent="0.2">
      <c r="A20" s="23">
        <f t="shared" si="0"/>
        <v>17</v>
      </c>
      <c r="B20" s="37" t="s">
        <v>182</v>
      </c>
      <c r="C20" s="38" t="s">
        <v>183</v>
      </c>
      <c r="D20" s="38"/>
      <c r="E20" s="60">
        <v>178</v>
      </c>
      <c r="F20" s="61">
        <v>176</v>
      </c>
      <c r="G20" s="61">
        <v>174</v>
      </c>
      <c r="H20" s="61">
        <v>173</v>
      </c>
      <c r="I20" s="106" t="s">
        <v>93</v>
      </c>
      <c r="J20" s="105" t="s">
        <v>781</v>
      </c>
      <c r="K20" s="31" t="s">
        <v>157</v>
      </c>
      <c r="L20" s="30" t="s">
        <v>224</v>
      </c>
      <c r="M20" s="24"/>
      <c r="N20" s="29"/>
      <c r="O20" s="25"/>
    </row>
    <row r="21" spans="1:15" ht="25.5" x14ac:dyDescent="0.2">
      <c r="A21" s="23">
        <f t="shared" si="0"/>
        <v>18</v>
      </c>
      <c r="B21" s="107" t="s">
        <v>784</v>
      </c>
      <c r="C21" s="108" t="s">
        <v>785</v>
      </c>
      <c r="D21" s="38"/>
      <c r="E21" s="60">
        <v>1096</v>
      </c>
      <c r="F21" s="61">
        <v>1141</v>
      </c>
      <c r="G21" s="61">
        <v>1198</v>
      </c>
      <c r="H21" s="61">
        <v>1067</v>
      </c>
      <c r="I21" s="106" t="s">
        <v>93</v>
      </c>
      <c r="J21" s="105" t="s">
        <v>794</v>
      </c>
      <c r="K21" s="31" t="s">
        <v>157</v>
      </c>
      <c r="L21" s="30" t="s">
        <v>224</v>
      </c>
      <c r="M21" s="24"/>
      <c r="N21" s="29">
        <v>7.08</v>
      </c>
      <c r="O21" s="25">
        <f t="shared" ref="O21:O31" si="1">N21*1000/H21</f>
        <v>6.6354264292408622</v>
      </c>
    </row>
    <row r="22" spans="1:15" ht="25.5" x14ac:dyDescent="0.2">
      <c r="A22" s="23">
        <f t="shared" si="0"/>
        <v>19</v>
      </c>
      <c r="B22" s="107" t="s">
        <v>786</v>
      </c>
      <c r="C22" s="108" t="s">
        <v>785</v>
      </c>
      <c r="D22" s="108" t="s">
        <v>788</v>
      </c>
      <c r="E22" s="60">
        <v>308</v>
      </c>
      <c r="F22" s="61">
        <v>297</v>
      </c>
      <c r="G22" s="61">
        <v>284</v>
      </c>
      <c r="H22" s="61">
        <v>271</v>
      </c>
      <c r="I22" s="106" t="s">
        <v>93</v>
      </c>
      <c r="J22" s="105" t="s">
        <v>796</v>
      </c>
      <c r="K22" s="31" t="s">
        <v>156</v>
      </c>
      <c r="L22" s="30"/>
      <c r="M22" s="24"/>
      <c r="N22" s="29">
        <f>0.2*15</f>
        <v>3</v>
      </c>
      <c r="O22" s="25">
        <f t="shared" si="1"/>
        <v>11.07011070110701</v>
      </c>
    </row>
    <row r="23" spans="1:15" ht="25.5" x14ac:dyDescent="0.2">
      <c r="A23" s="23">
        <f t="shared" si="0"/>
        <v>20</v>
      </c>
      <c r="B23" s="107" t="s">
        <v>786</v>
      </c>
      <c r="C23" s="108" t="s">
        <v>785</v>
      </c>
      <c r="D23" s="108" t="s">
        <v>788</v>
      </c>
      <c r="E23" s="60">
        <v>308</v>
      </c>
      <c r="F23" s="61">
        <v>297</v>
      </c>
      <c r="G23" s="61">
        <v>284</v>
      </c>
      <c r="H23" s="61">
        <v>271</v>
      </c>
      <c r="I23" s="106" t="s">
        <v>153</v>
      </c>
      <c r="J23" s="105" t="s">
        <v>795</v>
      </c>
      <c r="K23" s="31" t="s">
        <v>156</v>
      </c>
      <c r="L23" s="30"/>
      <c r="M23" s="24"/>
      <c r="N23" s="29">
        <f>14*0.3+1</f>
        <v>5.2</v>
      </c>
      <c r="O23" s="25">
        <f t="shared" si="1"/>
        <v>19.188191881918819</v>
      </c>
    </row>
    <row r="24" spans="1:15" x14ac:dyDescent="0.2">
      <c r="A24" s="23">
        <f t="shared" si="0"/>
        <v>21</v>
      </c>
      <c r="B24" s="107" t="s">
        <v>787</v>
      </c>
      <c r="C24" s="108" t="s">
        <v>785</v>
      </c>
      <c r="D24" s="108" t="s">
        <v>789</v>
      </c>
      <c r="E24" s="60">
        <v>14</v>
      </c>
      <c r="F24" s="61">
        <v>13</v>
      </c>
      <c r="G24" s="61">
        <v>11</v>
      </c>
      <c r="H24" s="61">
        <v>9</v>
      </c>
      <c r="I24" s="106" t="s">
        <v>93</v>
      </c>
      <c r="J24" s="105" t="s">
        <v>796</v>
      </c>
      <c r="K24" s="31" t="s">
        <v>156</v>
      </c>
      <c r="L24" s="30"/>
      <c r="M24" s="24"/>
      <c r="N24" s="29"/>
      <c r="O24" s="25">
        <f t="shared" si="1"/>
        <v>0</v>
      </c>
    </row>
    <row r="25" spans="1:15" ht="25.5" x14ac:dyDescent="0.2">
      <c r="A25" s="23">
        <f t="shared" si="0"/>
        <v>22</v>
      </c>
      <c r="B25" s="107" t="s">
        <v>787</v>
      </c>
      <c r="C25" s="108" t="s">
        <v>785</v>
      </c>
      <c r="D25" s="108" t="s">
        <v>789</v>
      </c>
      <c r="E25" s="60">
        <v>14</v>
      </c>
      <c r="F25" s="61">
        <v>13</v>
      </c>
      <c r="G25" s="61">
        <v>11</v>
      </c>
      <c r="H25" s="61">
        <v>9</v>
      </c>
      <c r="I25" s="106" t="s">
        <v>153</v>
      </c>
      <c r="J25" s="105" t="s">
        <v>797</v>
      </c>
      <c r="K25" s="31" t="s">
        <v>156</v>
      </c>
      <c r="L25" s="30"/>
      <c r="M25" s="24"/>
      <c r="N25" s="29">
        <f>0.005*7+0.002</f>
        <v>3.7000000000000005E-2</v>
      </c>
      <c r="O25" s="25">
        <f t="shared" si="1"/>
        <v>4.1111111111111116</v>
      </c>
    </row>
    <row r="26" spans="1:15" x14ac:dyDescent="0.2">
      <c r="A26" s="23">
        <f t="shared" si="0"/>
        <v>23</v>
      </c>
      <c r="B26" s="107" t="s">
        <v>790</v>
      </c>
      <c r="C26" s="108" t="s">
        <v>785</v>
      </c>
      <c r="D26" s="108" t="s">
        <v>791</v>
      </c>
      <c r="E26" s="60">
        <v>29</v>
      </c>
      <c r="F26" s="61">
        <v>26</v>
      </c>
      <c r="G26" s="61">
        <v>22</v>
      </c>
      <c r="H26" s="61">
        <v>19</v>
      </c>
      <c r="I26" s="106" t="s">
        <v>93</v>
      </c>
      <c r="J26" s="105" t="s">
        <v>796</v>
      </c>
      <c r="K26" s="31" t="s">
        <v>156</v>
      </c>
      <c r="L26" s="30"/>
      <c r="M26" s="24"/>
      <c r="N26" s="134">
        <v>1.1000000000000001</v>
      </c>
      <c r="O26" s="25">
        <f t="shared" si="1"/>
        <v>57.89473684210526</v>
      </c>
    </row>
    <row r="27" spans="1:15" ht="25.5" x14ac:dyDescent="0.2">
      <c r="A27" s="23">
        <f t="shared" si="0"/>
        <v>24</v>
      </c>
      <c r="B27" s="107" t="s">
        <v>790</v>
      </c>
      <c r="C27" s="108" t="s">
        <v>785</v>
      </c>
      <c r="D27" s="108" t="s">
        <v>791</v>
      </c>
      <c r="E27" s="60">
        <v>29</v>
      </c>
      <c r="F27" s="61">
        <v>26</v>
      </c>
      <c r="G27" s="61">
        <v>22</v>
      </c>
      <c r="H27" s="61">
        <v>19</v>
      </c>
      <c r="I27" s="106" t="s">
        <v>153</v>
      </c>
      <c r="J27" s="105" t="s">
        <v>798</v>
      </c>
      <c r="K27" s="31" t="s">
        <v>157</v>
      </c>
      <c r="L27" s="30" t="s">
        <v>158</v>
      </c>
      <c r="M27" s="24"/>
      <c r="N27" s="29">
        <v>0.7</v>
      </c>
      <c r="O27" s="25">
        <f t="shared" si="1"/>
        <v>36.842105263157897</v>
      </c>
    </row>
    <row r="28" spans="1:15" x14ac:dyDescent="0.2">
      <c r="A28" s="23">
        <f t="shared" si="0"/>
        <v>25</v>
      </c>
      <c r="B28" s="107" t="s">
        <v>792</v>
      </c>
      <c r="C28" s="108" t="s">
        <v>785</v>
      </c>
      <c r="D28" s="108" t="s">
        <v>793</v>
      </c>
      <c r="E28" s="60">
        <v>75</v>
      </c>
      <c r="F28" s="61">
        <v>72</v>
      </c>
      <c r="G28" s="61">
        <v>69</v>
      </c>
      <c r="H28" s="61">
        <v>66</v>
      </c>
      <c r="I28" s="106" t="s">
        <v>93</v>
      </c>
      <c r="J28" s="44" t="s">
        <v>796</v>
      </c>
      <c r="K28" s="31" t="s">
        <v>156</v>
      </c>
      <c r="L28" s="30"/>
      <c r="M28" s="24"/>
      <c r="N28" s="29">
        <v>1.2</v>
      </c>
      <c r="O28" s="25">
        <f t="shared" si="1"/>
        <v>18.181818181818183</v>
      </c>
    </row>
    <row r="29" spans="1:15" ht="38.25" x14ac:dyDescent="0.2">
      <c r="A29" s="23">
        <f t="shared" si="0"/>
        <v>26</v>
      </c>
      <c r="B29" s="107" t="s">
        <v>792</v>
      </c>
      <c r="C29" s="108" t="s">
        <v>785</v>
      </c>
      <c r="D29" s="108" t="s">
        <v>793</v>
      </c>
      <c r="E29" s="60">
        <v>75</v>
      </c>
      <c r="F29" s="61">
        <v>72</v>
      </c>
      <c r="G29" s="61">
        <v>69</v>
      </c>
      <c r="H29" s="61">
        <v>66</v>
      </c>
      <c r="I29" s="106" t="s">
        <v>153</v>
      </c>
      <c r="J29" s="105" t="s">
        <v>799</v>
      </c>
      <c r="K29" s="31" t="s">
        <v>157</v>
      </c>
      <c r="L29" s="30" t="s">
        <v>158</v>
      </c>
      <c r="M29" s="24"/>
      <c r="N29" s="29">
        <f>5.824+0.1*8</f>
        <v>6.6239999999999997</v>
      </c>
      <c r="O29" s="25">
        <f t="shared" si="1"/>
        <v>100.36363636363636</v>
      </c>
    </row>
    <row r="30" spans="1:15" ht="25.5" x14ac:dyDescent="0.2">
      <c r="A30" s="23">
        <f t="shared" si="0"/>
        <v>27</v>
      </c>
      <c r="B30" s="107" t="s">
        <v>800</v>
      </c>
      <c r="C30" s="108" t="s">
        <v>801</v>
      </c>
      <c r="D30" s="38"/>
      <c r="E30" s="60">
        <v>210</v>
      </c>
      <c r="F30" s="61">
        <v>213</v>
      </c>
      <c r="G30" s="61">
        <v>217</v>
      </c>
      <c r="H30" s="61">
        <v>222</v>
      </c>
      <c r="I30" s="106" t="s">
        <v>93</v>
      </c>
      <c r="J30" s="105" t="s">
        <v>809</v>
      </c>
      <c r="K30" s="31" t="s">
        <v>156</v>
      </c>
      <c r="L30" s="30"/>
      <c r="M30" s="24"/>
      <c r="N30" s="29">
        <v>0.7</v>
      </c>
      <c r="O30" s="25">
        <f t="shared" si="1"/>
        <v>3.1531531531531534</v>
      </c>
    </row>
    <row r="31" spans="1:15" ht="25.5" x14ac:dyDescent="0.2">
      <c r="A31" s="23">
        <f t="shared" si="0"/>
        <v>28</v>
      </c>
      <c r="B31" s="107" t="s">
        <v>800</v>
      </c>
      <c r="C31" s="108" t="s">
        <v>801</v>
      </c>
      <c r="D31" s="38"/>
      <c r="E31" s="60">
        <v>210</v>
      </c>
      <c r="F31" s="61">
        <v>213</v>
      </c>
      <c r="G31" s="61">
        <v>217</v>
      </c>
      <c r="H31" s="61">
        <v>222</v>
      </c>
      <c r="I31" s="106" t="s">
        <v>153</v>
      </c>
      <c r="J31" s="105" t="s">
        <v>810</v>
      </c>
      <c r="K31" s="31" t="s">
        <v>156</v>
      </c>
      <c r="L31" s="30"/>
      <c r="M31" s="24"/>
      <c r="N31" s="29">
        <v>2</v>
      </c>
      <c r="O31" s="25">
        <f t="shared" si="1"/>
        <v>9.0090090090090094</v>
      </c>
    </row>
    <row r="32" spans="1:15" ht="25.5" x14ac:dyDescent="0.2">
      <c r="A32" s="23">
        <f t="shared" si="0"/>
        <v>29</v>
      </c>
      <c r="B32" s="107" t="s">
        <v>802</v>
      </c>
      <c r="C32" s="108" t="s">
        <v>803</v>
      </c>
      <c r="D32" s="38"/>
      <c r="E32" s="60">
        <v>93</v>
      </c>
      <c r="F32" s="61">
        <v>92</v>
      </c>
      <c r="G32" s="61">
        <v>90</v>
      </c>
      <c r="H32" s="61">
        <v>89</v>
      </c>
      <c r="I32" s="106" t="s">
        <v>153</v>
      </c>
      <c r="J32" s="105" t="s">
        <v>807</v>
      </c>
      <c r="K32" s="31" t="s">
        <v>157</v>
      </c>
      <c r="L32" s="30" t="s">
        <v>224</v>
      </c>
      <c r="M32" s="24"/>
      <c r="N32" s="29"/>
      <c r="O32" s="25"/>
    </row>
    <row r="33" spans="1:15" ht="25.5" x14ac:dyDescent="0.2">
      <c r="A33" s="23">
        <f t="shared" si="0"/>
        <v>30</v>
      </c>
      <c r="B33" s="107" t="s">
        <v>804</v>
      </c>
      <c r="C33" s="108" t="s">
        <v>805</v>
      </c>
      <c r="D33" s="38"/>
      <c r="E33" s="60">
        <v>137</v>
      </c>
      <c r="F33" s="61">
        <v>129</v>
      </c>
      <c r="G33" s="61">
        <v>118</v>
      </c>
      <c r="H33" s="61">
        <v>107</v>
      </c>
      <c r="I33" s="106" t="s">
        <v>93</v>
      </c>
      <c r="J33" s="105" t="s">
        <v>806</v>
      </c>
      <c r="K33" s="31" t="s">
        <v>157</v>
      </c>
      <c r="L33" s="30" t="s">
        <v>158</v>
      </c>
      <c r="M33" s="24"/>
      <c r="N33" s="29">
        <v>4.1210000000000004</v>
      </c>
      <c r="O33" s="25">
        <f>N33*1000/H33</f>
        <v>38.514018691588788</v>
      </c>
    </row>
    <row r="34" spans="1:15" x14ac:dyDescent="0.2">
      <c r="A34" s="23">
        <f t="shared" si="0"/>
        <v>31</v>
      </c>
      <c r="B34" s="107" t="s">
        <v>808</v>
      </c>
      <c r="C34" s="108" t="s">
        <v>7</v>
      </c>
      <c r="D34" s="38"/>
      <c r="E34" s="60">
        <v>60</v>
      </c>
      <c r="F34" s="61">
        <v>58</v>
      </c>
      <c r="G34" s="61">
        <v>91</v>
      </c>
      <c r="H34" s="61">
        <v>54</v>
      </c>
      <c r="I34" s="106" t="s">
        <v>93</v>
      </c>
      <c r="J34" s="105" t="s">
        <v>413</v>
      </c>
      <c r="K34" s="31" t="s">
        <v>157</v>
      </c>
      <c r="L34" s="30" t="s">
        <v>158</v>
      </c>
      <c r="M34" s="24"/>
      <c r="N34" s="29"/>
      <c r="O34" s="25"/>
    </row>
    <row r="35" spans="1:15" ht="38.25" x14ac:dyDescent="0.2">
      <c r="A35" s="23">
        <f t="shared" si="0"/>
        <v>32</v>
      </c>
      <c r="B35" s="107" t="s">
        <v>808</v>
      </c>
      <c r="C35" s="108" t="s">
        <v>7</v>
      </c>
      <c r="D35" s="38"/>
      <c r="E35" s="60">
        <v>60</v>
      </c>
      <c r="F35" s="61">
        <v>58</v>
      </c>
      <c r="G35" s="61">
        <v>91</v>
      </c>
      <c r="H35" s="61">
        <v>54</v>
      </c>
      <c r="I35" s="106" t="s">
        <v>153</v>
      </c>
      <c r="J35" s="105" t="s">
        <v>811</v>
      </c>
      <c r="K35" s="31" t="s">
        <v>157</v>
      </c>
      <c r="L35" s="30" t="s">
        <v>158</v>
      </c>
      <c r="M35" s="24"/>
      <c r="N35" s="29"/>
      <c r="O35" s="25"/>
    </row>
  </sheetData>
  <autoFilter ref="A3:O35"/>
  <mergeCells count="2">
    <mergeCell ref="M1:N1"/>
    <mergeCell ref="E1:H1"/>
  </mergeCells>
  <phoneticPr fontId="2" type="noConversion"/>
  <conditionalFormatting sqref="A4:A16 A19:A27 A29:A35">
    <cfRule type="cellIs" dxfId="77" priority="2" stopIfTrue="1" operator="equal">
      <formula>A3</formula>
    </cfRule>
  </conditionalFormatting>
  <conditionalFormatting sqref="N4:N23 N25:N35">
    <cfRule type="cellIs" dxfId="76" priority="3" stopIfTrue="1" operator="equal">
      <formula>0</formula>
    </cfRule>
  </conditionalFormatting>
  <conditionalFormatting sqref="A3">
    <cfRule type="cellIs" dxfId="75" priority="4" stopIfTrue="1" operator="equal">
      <formula>#REF!</formula>
    </cfRule>
  </conditionalFormatting>
  <conditionalFormatting sqref="A17:A18">
    <cfRule type="cellIs" dxfId="74" priority="6" stopIfTrue="1" operator="equal">
      <formula>A15</formula>
    </cfRule>
  </conditionalFormatting>
  <conditionalFormatting sqref="A28 A24 A18">
    <cfRule type="cellIs" dxfId="73" priority="7" stopIfTrue="1" operator="equal">
      <formula>#REF!</formula>
    </cfRule>
  </conditionalFormatting>
  <conditionalFormatting sqref="N24">
    <cfRule type="cellIs" dxfId="72" priority="1" stopIfTrue="1" operator="equal">
      <formula>0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3"/>
  <sheetViews>
    <sheetView zoomScale="90" zoomScaleNormal="90" zoomScaleSheetLayoutView="100" workbookViewId="0">
      <selection activeCell="G29" sqref="G29"/>
    </sheetView>
  </sheetViews>
  <sheetFormatPr defaultRowHeight="12.75" x14ac:dyDescent="0.2"/>
  <cols>
    <col min="1" max="1" width="4.5703125" style="1" customWidth="1"/>
    <col min="2" max="2" width="13" style="1" bestFit="1" customWidth="1"/>
    <col min="3" max="3" width="12.42578125" style="1" customWidth="1"/>
    <col min="4" max="4" width="12.8554687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28515625" style="1" customWidth="1"/>
    <col min="13" max="13" width="8.85546875" style="1" customWidth="1"/>
    <col min="14" max="14" width="10.85546875" style="1" customWidth="1"/>
    <col min="15" max="15" width="11.42578125" style="1" customWidth="1"/>
    <col min="16" max="16" width="4.42578125" style="1" customWidth="1"/>
    <col min="17" max="24" width="9.140625" style="1"/>
    <col min="25" max="25" width="10.42578125" style="1" customWidth="1"/>
    <col min="26" max="30" width="9.140625" style="1"/>
    <col min="31" max="31" width="10.140625" style="1" bestFit="1" customWidth="1"/>
    <col min="32" max="52" width="9.140625" style="1"/>
    <col min="53" max="53" width="10.140625" style="1" bestFit="1" customWidth="1"/>
    <col min="54" max="54" width="10.140625" style="1" customWidth="1"/>
    <col min="55" max="55" width="11.42578125" style="1" bestFit="1" customWidth="1"/>
    <col min="56" max="56" width="9.140625" style="1"/>
    <col min="57" max="57" width="12.28515625" style="1" bestFit="1" customWidth="1"/>
    <col min="58" max="16384" width="9.140625" style="1"/>
  </cols>
  <sheetData>
    <row r="1" spans="1:85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10"/>
      <c r="AZ1" s="9"/>
      <c r="BA1" s="9"/>
      <c r="BB1" s="9"/>
      <c r="BC1" s="9"/>
      <c r="BD1" s="9"/>
      <c r="BE1" s="9"/>
    </row>
    <row r="2" spans="1:85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85" s="3" customFormat="1" ht="13.5" thickBot="1" x14ac:dyDescent="0.25">
      <c r="A3" s="54"/>
      <c r="B3" s="55"/>
      <c r="C3" s="55" t="s">
        <v>85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s="3" customFormat="1" ht="38.25" x14ac:dyDescent="0.2">
      <c r="A4" s="39">
        <f t="shared" ref="A4:A23" si="0">IF(B4="",A3,A3+1)</f>
        <v>1</v>
      </c>
      <c r="B4" s="81" t="s">
        <v>256</v>
      </c>
      <c r="C4" s="82" t="s">
        <v>258</v>
      </c>
      <c r="D4" s="82"/>
      <c r="E4" s="63">
        <v>961</v>
      </c>
      <c r="F4" s="64">
        <v>999</v>
      </c>
      <c r="G4" s="64">
        <v>1046</v>
      </c>
      <c r="H4" s="64">
        <v>1093</v>
      </c>
      <c r="I4" s="41" t="s">
        <v>93</v>
      </c>
      <c r="J4" s="121" t="s">
        <v>731</v>
      </c>
      <c r="K4" s="67" t="s">
        <v>157</v>
      </c>
      <c r="L4" s="83" t="s">
        <v>158</v>
      </c>
      <c r="M4" s="40"/>
      <c r="N4" s="42"/>
      <c r="O4" s="6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38.25" x14ac:dyDescent="0.2">
      <c r="A5" s="23">
        <f t="shared" si="0"/>
        <v>2</v>
      </c>
      <c r="B5" s="37" t="s">
        <v>256</v>
      </c>
      <c r="C5" s="38" t="s">
        <v>258</v>
      </c>
      <c r="D5" s="38"/>
      <c r="E5" s="60">
        <v>961</v>
      </c>
      <c r="F5" s="61">
        <v>999</v>
      </c>
      <c r="G5" s="61">
        <v>1046</v>
      </c>
      <c r="H5" s="61">
        <v>1093</v>
      </c>
      <c r="I5" s="27" t="s">
        <v>153</v>
      </c>
      <c r="J5" s="105" t="s">
        <v>730</v>
      </c>
      <c r="K5" s="31" t="s">
        <v>157</v>
      </c>
      <c r="L5" s="30" t="s">
        <v>158</v>
      </c>
      <c r="M5" s="24"/>
      <c r="N5" s="29"/>
      <c r="O5" s="25"/>
    </row>
    <row r="6" spans="1:85" ht="25.5" x14ac:dyDescent="0.2">
      <c r="A6" s="23">
        <f t="shared" si="0"/>
        <v>3</v>
      </c>
      <c r="B6" s="107" t="s">
        <v>724</v>
      </c>
      <c r="C6" s="38" t="s">
        <v>258</v>
      </c>
      <c r="D6" s="108" t="s">
        <v>725</v>
      </c>
      <c r="E6" s="60"/>
      <c r="F6" s="61"/>
      <c r="G6" s="61"/>
      <c r="H6" s="61"/>
      <c r="I6" s="106" t="s">
        <v>93</v>
      </c>
      <c r="J6" s="105" t="s">
        <v>733</v>
      </c>
      <c r="K6" s="31" t="s">
        <v>157</v>
      </c>
      <c r="L6" s="30" t="s">
        <v>180</v>
      </c>
      <c r="M6" s="24"/>
      <c r="N6" s="29"/>
      <c r="O6" s="25"/>
    </row>
    <row r="7" spans="1:85" ht="25.5" x14ac:dyDescent="0.2">
      <c r="A7" s="23">
        <f t="shared" si="0"/>
        <v>4</v>
      </c>
      <c r="B7" s="107" t="s">
        <v>724</v>
      </c>
      <c r="C7" s="38" t="s">
        <v>258</v>
      </c>
      <c r="D7" s="108" t="s">
        <v>725</v>
      </c>
      <c r="E7" s="60"/>
      <c r="F7" s="61"/>
      <c r="G7" s="61"/>
      <c r="H7" s="61"/>
      <c r="I7" s="106" t="s">
        <v>153</v>
      </c>
      <c r="J7" s="105" t="s">
        <v>732</v>
      </c>
      <c r="K7" s="31" t="s">
        <v>157</v>
      </c>
      <c r="L7" s="30" t="s">
        <v>158</v>
      </c>
      <c r="M7" s="24"/>
      <c r="N7" s="29"/>
      <c r="O7" s="25"/>
    </row>
    <row r="8" spans="1:85" ht="25.5" x14ac:dyDescent="0.2">
      <c r="A8" s="23">
        <f t="shared" si="0"/>
        <v>5</v>
      </c>
      <c r="B8" s="107" t="s">
        <v>726</v>
      </c>
      <c r="C8" s="38" t="s">
        <v>258</v>
      </c>
      <c r="D8" s="108" t="s">
        <v>727</v>
      </c>
      <c r="E8" s="60"/>
      <c r="F8" s="61"/>
      <c r="G8" s="61"/>
      <c r="H8" s="61"/>
      <c r="I8" s="106" t="s">
        <v>93</v>
      </c>
      <c r="J8" s="105" t="s">
        <v>734</v>
      </c>
      <c r="K8" s="31" t="s">
        <v>157</v>
      </c>
      <c r="L8" s="30" t="s">
        <v>180</v>
      </c>
      <c r="M8" s="24"/>
      <c r="N8" s="29"/>
      <c r="O8" s="25"/>
    </row>
    <row r="9" spans="1:85" ht="25.5" x14ac:dyDescent="0.2">
      <c r="A9" s="23">
        <f t="shared" si="0"/>
        <v>6</v>
      </c>
      <c r="B9" s="107" t="s">
        <v>726</v>
      </c>
      <c r="C9" s="38" t="s">
        <v>258</v>
      </c>
      <c r="D9" s="108" t="s">
        <v>727</v>
      </c>
      <c r="E9" s="60"/>
      <c r="F9" s="61"/>
      <c r="G9" s="61"/>
      <c r="H9" s="61"/>
      <c r="I9" s="106" t="s">
        <v>153</v>
      </c>
      <c r="J9" s="44" t="s">
        <v>732</v>
      </c>
      <c r="K9" s="31" t="s">
        <v>157</v>
      </c>
      <c r="L9" s="30" t="s">
        <v>158</v>
      </c>
      <c r="M9" s="24"/>
      <c r="N9" s="29"/>
      <c r="O9" s="25"/>
    </row>
    <row r="10" spans="1:85" ht="25.5" x14ac:dyDescent="0.2">
      <c r="A10" s="23">
        <f t="shared" si="0"/>
        <v>7</v>
      </c>
      <c r="B10" s="107" t="s">
        <v>728</v>
      </c>
      <c r="C10" s="38" t="s">
        <v>258</v>
      </c>
      <c r="D10" s="108" t="s">
        <v>729</v>
      </c>
      <c r="E10" s="60"/>
      <c r="F10" s="61"/>
      <c r="G10" s="61"/>
      <c r="H10" s="61"/>
      <c r="I10" s="106" t="s">
        <v>153</v>
      </c>
      <c r="J10" s="105" t="s">
        <v>732</v>
      </c>
      <c r="K10" s="31" t="s">
        <v>157</v>
      </c>
      <c r="L10" s="30" t="s">
        <v>158</v>
      </c>
      <c r="M10" s="24"/>
      <c r="N10" s="29"/>
      <c r="O10" s="25"/>
    </row>
    <row r="11" spans="1:85" ht="38.25" x14ac:dyDescent="0.2">
      <c r="A11" s="23">
        <f t="shared" si="0"/>
        <v>8</v>
      </c>
      <c r="B11" s="37" t="s">
        <v>257</v>
      </c>
      <c r="C11" s="38" t="s">
        <v>259</v>
      </c>
      <c r="D11" s="38" t="s">
        <v>260</v>
      </c>
      <c r="E11" s="60">
        <v>133</v>
      </c>
      <c r="F11" s="61">
        <v>163</v>
      </c>
      <c r="G11" s="61">
        <v>201</v>
      </c>
      <c r="H11" s="61">
        <v>238</v>
      </c>
      <c r="I11" s="106" t="s">
        <v>153</v>
      </c>
      <c r="J11" s="105" t="s">
        <v>735</v>
      </c>
      <c r="K11" s="31" t="s">
        <v>157</v>
      </c>
      <c r="L11" s="30" t="s">
        <v>158</v>
      </c>
      <c r="M11" s="24"/>
      <c r="N11" s="29"/>
      <c r="O11" s="25"/>
    </row>
    <row r="12" spans="1:85" ht="25.5" x14ac:dyDescent="0.2">
      <c r="A12" s="23">
        <f t="shared" si="0"/>
        <v>9</v>
      </c>
      <c r="B12" s="107" t="s">
        <v>736</v>
      </c>
      <c r="C12" s="108" t="s">
        <v>737</v>
      </c>
      <c r="D12" s="38"/>
      <c r="E12" s="60">
        <v>52</v>
      </c>
      <c r="F12" s="61">
        <v>47</v>
      </c>
      <c r="G12" s="61">
        <v>41</v>
      </c>
      <c r="H12" s="61">
        <v>35</v>
      </c>
      <c r="I12" s="106" t="s">
        <v>93</v>
      </c>
      <c r="J12" s="105" t="s">
        <v>738</v>
      </c>
      <c r="K12" s="31" t="s">
        <v>157</v>
      </c>
      <c r="L12" s="30" t="s">
        <v>158</v>
      </c>
      <c r="M12" s="24"/>
      <c r="N12" s="29">
        <v>2.952</v>
      </c>
      <c r="O12" s="25">
        <f>N12*1000/H12</f>
        <v>84.342857142857142</v>
      </c>
    </row>
    <row r="13" spans="1:85" x14ac:dyDescent="0.2">
      <c r="A13" s="23">
        <f t="shared" si="0"/>
        <v>10</v>
      </c>
      <c r="B13" s="107" t="s">
        <v>736</v>
      </c>
      <c r="C13" s="108" t="s">
        <v>737</v>
      </c>
      <c r="D13" s="38"/>
      <c r="E13" s="60">
        <v>52</v>
      </c>
      <c r="F13" s="61">
        <v>47</v>
      </c>
      <c r="G13" s="61">
        <v>41</v>
      </c>
      <c r="H13" s="61">
        <v>35</v>
      </c>
      <c r="I13" s="106" t="s">
        <v>153</v>
      </c>
      <c r="J13" s="44" t="s">
        <v>732</v>
      </c>
      <c r="K13" s="31" t="s">
        <v>157</v>
      </c>
      <c r="L13" s="30" t="s">
        <v>158</v>
      </c>
      <c r="M13" s="24"/>
      <c r="N13" s="29"/>
      <c r="O13" s="25"/>
    </row>
    <row r="14" spans="1:85" ht="25.5" x14ac:dyDescent="0.2">
      <c r="A14" s="23">
        <f t="shared" si="0"/>
        <v>11</v>
      </c>
      <c r="B14" s="107" t="s">
        <v>739</v>
      </c>
      <c r="C14" s="108" t="s">
        <v>737</v>
      </c>
      <c r="D14" s="108" t="s">
        <v>740</v>
      </c>
      <c r="E14" s="60">
        <v>13</v>
      </c>
      <c r="F14" s="61">
        <v>15</v>
      </c>
      <c r="G14" s="61">
        <v>17</v>
      </c>
      <c r="H14" s="61">
        <v>30</v>
      </c>
      <c r="I14" s="106" t="s">
        <v>93</v>
      </c>
      <c r="J14" s="44" t="s">
        <v>738</v>
      </c>
      <c r="K14" s="31" t="s">
        <v>157</v>
      </c>
      <c r="L14" s="30" t="s">
        <v>158</v>
      </c>
      <c r="M14" s="24"/>
      <c r="N14" s="29">
        <v>0.92500000000000004</v>
      </c>
      <c r="O14" s="25">
        <f>N14*1000/H14</f>
        <v>30.833333333333332</v>
      </c>
    </row>
    <row r="15" spans="1:85" ht="25.5" x14ac:dyDescent="0.2">
      <c r="A15" s="23">
        <f t="shared" si="0"/>
        <v>12</v>
      </c>
      <c r="B15" s="107" t="s">
        <v>739</v>
      </c>
      <c r="C15" s="108" t="s">
        <v>737</v>
      </c>
      <c r="D15" s="108" t="s">
        <v>740</v>
      </c>
      <c r="E15" s="60">
        <v>13</v>
      </c>
      <c r="F15" s="61">
        <v>15</v>
      </c>
      <c r="G15" s="61">
        <v>17</v>
      </c>
      <c r="H15" s="61">
        <v>30</v>
      </c>
      <c r="I15" s="106" t="s">
        <v>153</v>
      </c>
      <c r="J15" s="105" t="s">
        <v>741</v>
      </c>
      <c r="K15" s="31" t="s">
        <v>157</v>
      </c>
      <c r="L15" s="30" t="s">
        <v>158</v>
      </c>
      <c r="M15" s="24"/>
      <c r="N15" s="29"/>
      <c r="O15" s="25"/>
    </row>
    <row r="16" spans="1:85" ht="25.5" x14ac:dyDescent="0.2">
      <c r="A16" s="23">
        <f t="shared" si="0"/>
        <v>13</v>
      </c>
      <c r="B16" s="107" t="s">
        <v>742</v>
      </c>
      <c r="C16" s="108" t="s">
        <v>737</v>
      </c>
      <c r="D16" s="108" t="s">
        <v>743</v>
      </c>
      <c r="E16" s="60">
        <v>218</v>
      </c>
      <c r="F16" s="61">
        <v>251</v>
      </c>
      <c r="G16" s="61">
        <v>293</v>
      </c>
      <c r="H16" s="61">
        <v>334</v>
      </c>
      <c r="I16" s="106" t="s">
        <v>93</v>
      </c>
      <c r="J16" s="105" t="s">
        <v>750</v>
      </c>
      <c r="K16" s="31" t="s">
        <v>157</v>
      </c>
      <c r="L16" s="30" t="s">
        <v>158</v>
      </c>
      <c r="M16" s="24"/>
      <c r="N16" s="29"/>
      <c r="O16" s="25"/>
    </row>
    <row r="17" spans="1:15" ht="38.25" x14ac:dyDescent="0.2">
      <c r="A17" s="23">
        <f t="shared" si="0"/>
        <v>14</v>
      </c>
      <c r="B17" s="107" t="s">
        <v>742</v>
      </c>
      <c r="C17" s="108" t="s">
        <v>737</v>
      </c>
      <c r="D17" s="108" t="s">
        <v>743</v>
      </c>
      <c r="E17" s="60">
        <v>218</v>
      </c>
      <c r="F17" s="61">
        <v>251</v>
      </c>
      <c r="G17" s="61">
        <v>293</v>
      </c>
      <c r="H17" s="61">
        <v>334</v>
      </c>
      <c r="I17" s="106" t="s">
        <v>153</v>
      </c>
      <c r="J17" s="105" t="s">
        <v>751</v>
      </c>
      <c r="K17" s="31" t="s">
        <v>157</v>
      </c>
      <c r="L17" s="30" t="s">
        <v>158</v>
      </c>
      <c r="M17" s="24"/>
      <c r="N17" s="29"/>
      <c r="O17" s="25"/>
    </row>
    <row r="18" spans="1:15" ht="25.5" x14ac:dyDescent="0.2">
      <c r="A18" s="23">
        <f t="shared" si="0"/>
        <v>15</v>
      </c>
      <c r="B18" s="107" t="s">
        <v>744</v>
      </c>
      <c r="C18" s="108" t="s">
        <v>737</v>
      </c>
      <c r="D18" s="108" t="s">
        <v>745</v>
      </c>
      <c r="E18" s="60">
        <v>68</v>
      </c>
      <c r="F18" s="61">
        <v>68</v>
      </c>
      <c r="G18" s="61">
        <v>69</v>
      </c>
      <c r="H18" s="61">
        <v>93</v>
      </c>
      <c r="I18" s="106" t="s">
        <v>93</v>
      </c>
      <c r="J18" s="44" t="s">
        <v>738</v>
      </c>
      <c r="K18" s="31" t="s">
        <v>157</v>
      </c>
      <c r="L18" s="30" t="s">
        <v>158</v>
      </c>
      <c r="M18" s="24"/>
      <c r="N18" s="29">
        <v>1.88</v>
      </c>
      <c r="O18" s="25">
        <f>N18*1000/H18</f>
        <v>20.21505376344086</v>
      </c>
    </row>
    <row r="19" spans="1:15" ht="25.5" x14ac:dyDescent="0.2">
      <c r="A19" s="23">
        <f t="shared" si="0"/>
        <v>16</v>
      </c>
      <c r="B19" s="107" t="s">
        <v>744</v>
      </c>
      <c r="C19" s="108" t="s">
        <v>737</v>
      </c>
      <c r="D19" s="108" t="s">
        <v>745</v>
      </c>
      <c r="E19" s="60">
        <v>68</v>
      </c>
      <c r="F19" s="61">
        <v>68</v>
      </c>
      <c r="G19" s="61">
        <v>69</v>
      </c>
      <c r="H19" s="61">
        <v>93</v>
      </c>
      <c r="I19" s="106" t="s">
        <v>153</v>
      </c>
      <c r="J19" s="105" t="s">
        <v>752</v>
      </c>
      <c r="K19" s="31" t="s">
        <v>157</v>
      </c>
      <c r="L19" s="30" t="s">
        <v>158</v>
      </c>
      <c r="M19" s="24"/>
      <c r="N19" s="29">
        <v>15</v>
      </c>
      <c r="O19" s="25">
        <f>N19*1000/H19</f>
        <v>161.29032258064515</v>
      </c>
    </row>
    <row r="20" spans="1:15" ht="39.75" customHeight="1" x14ac:dyDescent="0.2">
      <c r="A20" s="23">
        <f t="shared" si="0"/>
        <v>17</v>
      </c>
      <c r="B20" s="107" t="s">
        <v>746</v>
      </c>
      <c r="C20" s="108" t="s">
        <v>737</v>
      </c>
      <c r="D20" s="108" t="s">
        <v>747</v>
      </c>
      <c r="E20" s="60">
        <v>62</v>
      </c>
      <c r="F20" s="61">
        <v>71</v>
      </c>
      <c r="G20" s="61">
        <v>81</v>
      </c>
      <c r="H20" s="61">
        <v>82</v>
      </c>
      <c r="I20" s="106" t="s">
        <v>93</v>
      </c>
      <c r="J20" s="105" t="s">
        <v>753</v>
      </c>
      <c r="K20" s="31" t="s">
        <v>157</v>
      </c>
      <c r="L20" s="30" t="s">
        <v>158</v>
      </c>
      <c r="M20" s="24"/>
      <c r="N20" s="29">
        <f>2.395+1.5</f>
        <v>3.895</v>
      </c>
      <c r="O20" s="25">
        <f>N20*1000/H20</f>
        <v>47.5</v>
      </c>
    </row>
    <row r="21" spans="1:15" x14ac:dyDescent="0.2">
      <c r="A21" s="23">
        <f t="shared" si="0"/>
        <v>18</v>
      </c>
      <c r="B21" s="107" t="s">
        <v>746</v>
      </c>
      <c r="C21" s="108" t="s">
        <v>737</v>
      </c>
      <c r="D21" s="108" t="s">
        <v>747</v>
      </c>
      <c r="E21" s="60">
        <v>62</v>
      </c>
      <c r="F21" s="61">
        <v>71</v>
      </c>
      <c r="G21" s="61">
        <v>81</v>
      </c>
      <c r="H21" s="61">
        <v>82</v>
      </c>
      <c r="I21" s="106" t="s">
        <v>153</v>
      </c>
      <c r="J21" s="44" t="s">
        <v>732</v>
      </c>
      <c r="K21" s="31" t="s">
        <v>157</v>
      </c>
      <c r="L21" s="30" t="s">
        <v>158</v>
      </c>
      <c r="M21" s="24"/>
      <c r="N21" s="29"/>
      <c r="O21" s="25"/>
    </row>
    <row r="22" spans="1:15" ht="25.5" x14ac:dyDescent="0.2">
      <c r="A22" s="23">
        <f t="shared" si="0"/>
        <v>19</v>
      </c>
      <c r="B22" s="107" t="s">
        <v>748</v>
      </c>
      <c r="C22" s="108" t="s">
        <v>749</v>
      </c>
      <c r="D22" s="38"/>
      <c r="E22" s="60">
        <v>287</v>
      </c>
      <c r="F22" s="61">
        <v>307</v>
      </c>
      <c r="G22" s="61">
        <v>331</v>
      </c>
      <c r="H22" s="61">
        <v>356</v>
      </c>
      <c r="I22" s="106" t="s">
        <v>93</v>
      </c>
      <c r="J22" s="105" t="s">
        <v>755</v>
      </c>
      <c r="K22" s="31" t="s">
        <v>157</v>
      </c>
      <c r="L22" s="30" t="s">
        <v>224</v>
      </c>
      <c r="M22" s="24"/>
      <c r="N22" s="29"/>
      <c r="O22" s="25"/>
    </row>
    <row r="23" spans="1:15" ht="25.5" x14ac:dyDescent="0.2">
      <c r="A23" s="23">
        <f t="shared" si="0"/>
        <v>20</v>
      </c>
      <c r="B23" s="107" t="s">
        <v>748</v>
      </c>
      <c r="C23" s="108" t="s">
        <v>749</v>
      </c>
      <c r="D23" s="38"/>
      <c r="E23" s="60">
        <v>287</v>
      </c>
      <c r="F23" s="61">
        <v>307</v>
      </c>
      <c r="G23" s="61">
        <v>331</v>
      </c>
      <c r="H23" s="61">
        <v>356</v>
      </c>
      <c r="I23" s="106" t="s">
        <v>153</v>
      </c>
      <c r="J23" s="105" t="s">
        <v>754</v>
      </c>
      <c r="K23" s="31" t="s">
        <v>157</v>
      </c>
      <c r="L23" s="30" t="s">
        <v>158</v>
      </c>
      <c r="M23" s="24"/>
      <c r="N23" s="29">
        <v>3.5489999999999999</v>
      </c>
      <c r="O23" s="25">
        <f>N23*1000/H23</f>
        <v>9.9691011235955056</v>
      </c>
    </row>
  </sheetData>
  <autoFilter ref="A3:O23"/>
  <mergeCells count="2">
    <mergeCell ref="M1:N1"/>
    <mergeCell ref="E1:H1"/>
  </mergeCells>
  <phoneticPr fontId="2" type="noConversion"/>
  <conditionalFormatting sqref="A4:A23">
    <cfRule type="cellIs" dxfId="71" priority="1" stopIfTrue="1" operator="equal">
      <formula>A3</formula>
    </cfRule>
  </conditionalFormatting>
  <conditionalFormatting sqref="N4:N23">
    <cfRule type="cellIs" dxfId="70" priority="2" stopIfTrue="1" operator="equal">
      <formula>0</formula>
    </cfRule>
  </conditionalFormatting>
  <conditionalFormatting sqref="A3">
    <cfRule type="cellIs" dxfId="69" priority="3" stopIfTrue="1" operator="equal">
      <formula>#REF!</formula>
    </cfRule>
  </conditionalFormatting>
  <conditionalFormatting sqref="A22">
    <cfRule type="cellIs" dxfId="68" priority="6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"/>
  <sheetViews>
    <sheetView zoomScale="80" zoomScaleNormal="80" zoomScaleSheetLayoutView="90" workbookViewId="0">
      <selection activeCell="J1" sqref="J1"/>
    </sheetView>
  </sheetViews>
  <sheetFormatPr defaultRowHeight="12.75" x14ac:dyDescent="0.2"/>
  <cols>
    <col min="1" max="1" width="4.85546875" style="1" customWidth="1"/>
    <col min="2" max="2" width="13" style="1" bestFit="1" customWidth="1"/>
    <col min="3" max="3" width="11.42578125" style="1" customWidth="1"/>
    <col min="4" max="4" width="10.710937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1" style="1" customWidth="1"/>
    <col min="13" max="13" width="8.85546875" style="1" customWidth="1"/>
    <col min="14" max="14" width="11.7109375" style="1" customWidth="1"/>
    <col min="15" max="15" width="11.42578125" style="1" customWidth="1"/>
    <col min="16" max="16" width="4.42578125" style="1" customWidth="1"/>
    <col min="17" max="34" width="9.140625" style="1"/>
    <col min="35" max="35" width="10.140625" style="1" bestFit="1" customWidth="1"/>
    <col min="36" max="36" width="10.140625" style="1" customWidth="1"/>
    <col min="37" max="37" width="11.42578125" style="1" bestFit="1" customWidth="1"/>
    <col min="38" max="38" width="9.140625" style="1"/>
    <col min="39" max="39" width="12.28515625" style="1" bestFit="1" customWidth="1"/>
    <col min="40" max="16384" width="9.140625" style="1"/>
  </cols>
  <sheetData>
    <row r="1" spans="1:67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/>
      <c r="AH1" s="9"/>
      <c r="AI1" s="9"/>
      <c r="AJ1" s="9"/>
      <c r="AK1" s="9"/>
      <c r="AL1" s="9"/>
      <c r="AM1" s="9"/>
    </row>
    <row r="2" spans="1:67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67" s="3" customFormat="1" ht="13.5" thickBot="1" x14ac:dyDescent="0.25">
      <c r="A3" s="54"/>
      <c r="B3" s="55"/>
      <c r="C3" s="55" t="s">
        <v>137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67" s="3" customFormat="1" x14ac:dyDescent="0.2">
      <c r="A4" s="39">
        <f t="shared" ref="A4:A10" si="0">IF(B4="",A3,A3+1)</f>
        <v>1</v>
      </c>
      <c r="B4" s="81" t="s">
        <v>138</v>
      </c>
      <c r="C4" s="82" t="s">
        <v>139</v>
      </c>
      <c r="D4" s="82"/>
      <c r="E4" s="63">
        <v>778</v>
      </c>
      <c r="F4" s="64">
        <v>791</v>
      </c>
      <c r="G4" s="64">
        <v>807</v>
      </c>
      <c r="H4" s="64">
        <v>823</v>
      </c>
      <c r="I4" s="41" t="s">
        <v>93</v>
      </c>
      <c r="J4" s="105" t="s">
        <v>414</v>
      </c>
      <c r="K4" s="67" t="s">
        <v>157</v>
      </c>
      <c r="L4" s="83" t="s">
        <v>224</v>
      </c>
      <c r="M4" s="40"/>
      <c r="N4" s="42">
        <v>1.2290000000000001</v>
      </c>
      <c r="O4" s="68">
        <f>N4*1000/H4</f>
        <v>1.4933171324422843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x14ac:dyDescent="0.2">
      <c r="A5" s="23">
        <f t="shared" si="0"/>
        <v>2</v>
      </c>
      <c r="B5" s="107" t="s">
        <v>138</v>
      </c>
      <c r="C5" s="38" t="s">
        <v>139</v>
      </c>
      <c r="D5" s="38"/>
      <c r="E5" s="61">
        <v>778</v>
      </c>
      <c r="F5" s="61">
        <v>791</v>
      </c>
      <c r="G5" s="61">
        <v>807</v>
      </c>
      <c r="H5" s="61">
        <v>823</v>
      </c>
      <c r="I5" s="106" t="s">
        <v>153</v>
      </c>
      <c r="J5" s="105" t="s">
        <v>477</v>
      </c>
      <c r="K5" s="31" t="s">
        <v>157</v>
      </c>
      <c r="L5" s="31" t="s">
        <v>224</v>
      </c>
      <c r="M5" s="24"/>
      <c r="N5" s="29"/>
      <c r="O5" s="25"/>
    </row>
    <row r="6" spans="1:67" x14ac:dyDescent="0.2">
      <c r="A6" s="23">
        <f t="shared" si="0"/>
        <v>3</v>
      </c>
      <c r="B6" s="107" t="s">
        <v>681</v>
      </c>
      <c r="C6" s="108" t="s">
        <v>682</v>
      </c>
      <c r="D6" s="38"/>
      <c r="E6" s="60">
        <v>302</v>
      </c>
      <c r="F6" s="61">
        <v>294</v>
      </c>
      <c r="G6" s="61">
        <v>284</v>
      </c>
      <c r="H6" s="61">
        <v>275</v>
      </c>
      <c r="I6" s="106" t="s">
        <v>93</v>
      </c>
      <c r="J6" s="105" t="s">
        <v>414</v>
      </c>
      <c r="K6" s="31" t="s">
        <v>157</v>
      </c>
      <c r="L6" s="30" t="s">
        <v>158</v>
      </c>
      <c r="M6" s="24"/>
      <c r="N6" s="29"/>
      <c r="O6" s="25"/>
    </row>
    <row r="7" spans="1:67" x14ac:dyDescent="0.2">
      <c r="A7" s="23">
        <f t="shared" si="0"/>
        <v>4</v>
      </c>
      <c r="B7" s="107" t="s">
        <v>681</v>
      </c>
      <c r="C7" s="108" t="s">
        <v>682</v>
      </c>
      <c r="D7" s="38"/>
      <c r="E7" s="60">
        <v>302</v>
      </c>
      <c r="F7" s="61">
        <v>294</v>
      </c>
      <c r="G7" s="61">
        <v>284</v>
      </c>
      <c r="H7" s="61">
        <v>275</v>
      </c>
      <c r="I7" s="106" t="s">
        <v>153</v>
      </c>
      <c r="J7" s="105" t="s">
        <v>686</v>
      </c>
      <c r="K7" s="31" t="s">
        <v>157</v>
      </c>
      <c r="L7" s="30" t="s">
        <v>224</v>
      </c>
      <c r="M7" s="24"/>
      <c r="N7" s="29"/>
      <c r="O7" s="25"/>
    </row>
    <row r="8" spans="1:67" ht="25.5" x14ac:dyDescent="0.2">
      <c r="A8" s="23">
        <f t="shared" si="0"/>
        <v>5</v>
      </c>
      <c r="B8" s="107" t="s">
        <v>47</v>
      </c>
      <c r="C8" s="108" t="s">
        <v>46</v>
      </c>
      <c r="D8" s="38"/>
      <c r="E8" s="61">
        <v>195</v>
      </c>
      <c r="F8" s="61">
        <v>190</v>
      </c>
      <c r="G8" s="61">
        <v>184</v>
      </c>
      <c r="H8" s="61">
        <v>195</v>
      </c>
      <c r="I8" s="106" t="s">
        <v>153</v>
      </c>
      <c r="J8" s="105" t="s">
        <v>685</v>
      </c>
      <c r="K8" s="31" t="s">
        <v>157</v>
      </c>
      <c r="L8" s="30" t="s">
        <v>158</v>
      </c>
      <c r="M8" s="24"/>
      <c r="N8" s="29">
        <v>6</v>
      </c>
      <c r="O8" s="25">
        <f>N8*1000/H8</f>
        <v>30.76923076923077</v>
      </c>
    </row>
    <row r="9" spans="1:67" ht="54" customHeight="1" x14ac:dyDescent="0.2">
      <c r="A9" s="23">
        <f t="shared" si="0"/>
        <v>6</v>
      </c>
      <c r="B9" s="107" t="s">
        <v>48</v>
      </c>
      <c r="C9" s="108" t="s">
        <v>46</v>
      </c>
      <c r="D9" s="108" t="s">
        <v>49</v>
      </c>
      <c r="E9" s="61">
        <v>101</v>
      </c>
      <c r="F9" s="61">
        <v>104</v>
      </c>
      <c r="G9" s="61">
        <v>108</v>
      </c>
      <c r="H9" s="61">
        <v>112</v>
      </c>
      <c r="I9" s="106" t="s">
        <v>153</v>
      </c>
      <c r="J9" s="105" t="s">
        <v>684</v>
      </c>
      <c r="K9" s="31" t="s">
        <v>157</v>
      </c>
      <c r="L9" s="30" t="s">
        <v>158</v>
      </c>
      <c r="M9" s="24"/>
      <c r="N9" s="29"/>
      <c r="O9" s="25"/>
    </row>
    <row r="10" spans="1:67" x14ac:dyDescent="0.2">
      <c r="A10" s="23">
        <f t="shared" si="0"/>
        <v>7</v>
      </c>
      <c r="B10" s="107" t="s">
        <v>141</v>
      </c>
      <c r="C10" s="108" t="s">
        <v>50</v>
      </c>
      <c r="D10" s="38"/>
      <c r="E10" s="61">
        <v>88</v>
      </c>
      <c r="F10" s="61">
        <v>79</v>
      </c>
      <c r="G10" s="61">
        <v>68</v>
      </c>
      <c r="H10" s="61">
        <v>57</v>
      </c>
      <c r="I10" s="106" t="s">
        <v>153</v>
      </c>
      <c r="J10" s="105" t="s">
        <v>683</v>
      </c>
      <c r="K10" s="31" t="s">
        <v>157</v>
      </c>
      <c r="L10" s="30" t="s">
        <v>224</v>
      </c>
      <c r="M10" s="24"/>
      <c r="N10" s="29"/>
      <c r="O10" s="25"/>
    </row>
  </sheetData>
  <autoFilter ref="A3:O10"/>
  <mergeCells count="2">
    <mergeCell ref="M1:N1"/>
    <mergeCell ref="E1:H1"/>
  </mergeCells>
  <phoneticPr fontId="2" type="noConversion"/>
  <conditionalFormatting sqref="A4:A10">
    <cfRule type="cellIs" dxfId="67" priority="1" stopIfTrue="1" operator="equal">
      <formula>A3</formula>
    </cfRule>
  </conditionalFormatting>
  <conditionalFormatting sqref="N4:N10">
    <cfRule type="cellIs" dxfId="66" priority="2" stopIfTrue="1" operator="equal">
      <formula>0</formula>
    </cfRule>
  </conditionalFormatting>
  <conditionalFormatting sqref="A3">
    <cfRule type="cellIs" dxfId="65" priority="3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zoomScale="90" zoomScaleNormal="90" zoomScaleSheetLayoutView="90" workbookViewId="0">
      <selection activeCell="J1" sqref="J1"/>
    </sheetView>
  </sheetViews>
  <sheetFormatPr defaultRowHeight="12.75" x14ac:dyDescent="0.2"/>
  <cols>
    <col min="1" max="1" width="6" style="1" customWidth="1"/>
    <col min="2" max="2" width="13" style="1" bestFit="1" customWidth="1"/>
    <col min="3" max="3" width="10.42578125" style="1" customWidth="1"/>
    <col min="4" max="4" width="15.28515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0.28515625" style="1" customWidth="1"/>
    <col min="13" max="13" width="8.85546875" style="1" customWidth="1"/>
    <col min="14" max="14" width="12" style="1" customWidth="1"/>
    <col min="15" max="15" width="11.42578125" style="1" customWidth="1"/>
    <col min="16" max="16" width="4.42578125" style="1" customWidth="1"/>
    <col min="17" max="34" width="9.140625" style="1"/>
    <col min="35" max="35" width="10.140625" style="1" bestFit="1" customWidth="1"/>
    <col min="36" max="36" width="10.140625" style="1" customWidth="1"/>
    <col min="37" max="37" width="11.42578125" style="1" bestFit="1" customWidth="1"/>
    <col min="38" max="38" width="9.140625" style="1"/>
    <col min="39" max="39" width="12.28515625" style="1" bestFit="1" customWidth="1"/>
    <col min="40" max="16384" width="9.140625" style="1"/>
  </cols>
  <sheetData>
    <row r="1" spans="1:67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/>
      <c r="AH1" s="9"/>
      <c r="AI1" s="9"/>
      <c r="AJ1" s="9"/>
      <c r="AK1" s="9"/>
      <c r="AL1" s="9"/>
      <c r="AM1" s="9"/>
    </row>
    <row r="2" spans="1:67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67" s="3" customFormat="1" ht="13.5" thickBot="1" x14ac:dyDescent="0.25">
      <c r="A3" s="54"/>
      <c r="B3" s="55"/>
      <c r="C3" s="55" t="s">
        <v>175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67" s="3" customFormat="1" x14ac:dyDescent="0.2">
      <c r="A4" s="39">
        <f t="shared" ref="A4:A14" si="0">IF(B4="",A3,A3+1)</f>
        <v>1</v>
      </c>
      <c r="B4" s="81" t="s">
        <v>176</v>
      </c>
      <c r="C4" s="82" t="s">
        <v>185</v>
      </c>
      <c r="D4" s="82"/>
      <c r="E4" s="63">
        <v>428</v>
      </c>
      <c r="F4" s="64">
        <v>430</v>
      </c>
      <c r="G4" s="64">
        <v>433</v>
      </c>
      <c r="H4" s="64">
        <v>435</v>
      </c>
      <c r="I4" s="41" t="s">
        <v>93</v>
      </c>
      <c r="J4" s="121" t="s">
        <v>693</v>
      </c>
      <c r="K4" s="67" t="s">
        <v>157</v>
      </c>
      <c r="L4" s="83" t="s">
        <v>224</v>
      </c>
      <c r="M4" s="40"/>
      <c r="N4" s="42"/>
      <c r="O4" s="6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s="3" customFormat="1" ht="38.25" x14ac:dyDescent="0.2">
      <c r="A5" s="23">
        <f t="shared" si="0"/>
        <v>2</v>
      </c>
      <c r="B5" s="37" t="s">
        <v>176</v>
      </c>
      <c r="C5" s="38" t="s">
        <v>185</v>
      </c>
      <c r="D5" s="38"/>
      <c r="E5" s="60">
        <v>428</v>
      </c>
      <c r="F5" s="61">
        <v>430</v>
      </c>
      <c r="G5" s="61">
        <v>433</v>
      </c>
      <c r="H5" s="61">
        <v>435</v>
      </c>
      <c r="I5" s="27" t="s">
        <v>153</v>
      </c>
      <c r="J5" s="105" t="s">
        <v>698</v>
      </c>
      <c r="K5" s="31" t="s">
        <v>157</v>
      </c>
      <c r="L5" s="30" t="s">
        <v>158</v>
      </c>
      <c r="M5" s="24"/>
      <c r="N5" s="29"/>
      <c r="O5" s="2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ht="25.5" x14ac:dyDescent="0.2">
      <c r="A6" s="23">
        <f t="shared" si="0"/>
        <v>3</v>
      </c>
      <c r="B6" s="107" t="s">
        <v>688</v>
      </c>
      <c r="C6" s="38" t="s">
        <v>185</v>
      </c>
      <c r="D6" s="108" t="s">
        <v>687</v>
      </c>
      <c r="E6" s="60"/>
      <c r="F6" s="61"/>
      <c r="G6" s="61"/>
      <c r="H6" s="61"/>
      <c r="I6" s="106" t="s">
        <v>153</v>
      </c>
      <c r="J6" s="105" t="s">
        <v>696</v>
      </c>
      <c r="K6" s="31" t="s">
        <v>157</v>
      </c>
      <c r="L6" s="30" t="s">
        <v>180</v>
      </c>
      <c r="M6" s="24"/>
      <c r="N6" s="29"/>
      <c r="O6" s="25"/>
    </row>
    <row r="7" spans="1:67" ht="25.5" x14ac:dyDescent="0.2">
      <c r="A7" s="23">
        <f t="shared" si="0"/>
        <v>4</v>
      </c>
      <c r="B7" s="107" t="s">
        <v>690</v>
      </c>
      <c r="C7" s="38" t="s">
        <v>185</v>
      </c>
      <c r="D7" s="108" t="s">
        <v>689</v>
      </c>
      <c r="E7" s="60"/>
      <c r="F7" s="61"/>
      <c r="G7" s="61"/>
      <c r="H7" s="61"/>
      <c r="I7" s="106" t="s">
        <v>153</v>
      </c>
      <c r="J7" s="44" t="s">
        <v>696</v>
      </c>
      <c r="K7" s="31" t="s">
        <v>157</v>
      </c>
      <c r="L7" s="30" t="s">
        <v>180</v>
      </c>
      <c r="M7" s="24"/>
      <c r="N7" s="29"/>
      <c r="O7" s="25"/>
    </row>
    <row r="8" spans="1:67" ht="25.5" x14ac:dyDescent="0.2">
      <c r="A8" s="23">
        <f t="shared" si="0"/>
        <v>5</v>
      </c>
      <c r="B8" s="107" t="s">
        <v>692</v>
      </c>
      <c r="C8" s="38" t="s">
        <v>185</v>
      </c>
      <c r="D8" s="108" t="s">
        <v>691</v>
      </c>
      <c r="E8" s="60"/>
      <c r="F8" s="61"/>
      <c r="G8" s="61"/>
      <c r="H8" s="61"/>
      <c r="I8" s="106" t="s">
        <v>153</v>
      </c>
      <c r="J8" s="44" t="s">
        <v>696</v>
      </c>
      <c r="K8" s="31" t="s">
        <v>157</v>
      </c>
      <c r="L8" s="30" t="s">
        <v>180</v>
      </c>
      <c r="M8" s="24"/>
      <c r="N8" s="29"/>
      <c r="O8" s="25"/>
    </row>
    <row r="9" spans="1:67" ht="38.25" x14ac:dyDescent="0.2">
      <c r="A9" s="23">
        <f t="shared" si="0"/>
        <v>6</v>
      </c>
      <c r="B9" s="107" t="s">
        <v>177</v>
      </c>
      <c r="C9" s="38" t="s">
        <v>185</v>
      </c>
      <c r="D9" s="38" t="s">
        <v>149</v>
      </c>
      <c r="E9" s="60">
        <v>57</v>
      </c>
      <c r="F9" s="61">
        <v>60</v>
      </c>
      <c r="G9" s="61">
        <v>63</v>
      </c>
      <c r="H9" s="61">
        <v>66</v>
      </c>
      <c r="I9" s="106" t="s">
        <v>153</v>
      </c>
      <c r="J9" s="105" t="s">
        <v>698</v>
      </c>
      <c r="K9" s="31" t="s">
        <v>157</v>
      </c>
      <c r="L9" s="30" t="s">
        <v>158</v>
      </c>
      <c r="M9" s="24"/>
      <c r="N9" s="29"/>
      <c r="O9" s="25"/>
    </row>
    <row r="10" spans="1:67" x14ac:dyDescent="0.2">
      <c r="A10" s="23">
        <f t="shared" si="0"/>
        <v>7</v>
      </c>
      <c r="B10" s="37" t="s">
        <v>178</v>
      </c>
      <c r="C10" s="38" t="s">
        <v>185</v>
      </c>
      <c r="D10" s="38" t="s">
        <v>186</v>
      </c>
      <c r="E10" s="60">
        <v>57</v>
      </c>
      <c r="F10" s="61">
        <v>56</v>
      </c>
      <c r="G10" s="61">
        <v>54</v>
      </c>
      <c r="H10" s="61">
        <v>52</v>
      </c>
      <c r="I10" s="106" t="s">
        <v>153</v>
      </c>
      <c r="J10" s="105" t="s">
        <v>695</v>
      </c>
      <c r="K10" s="31" t="s">
        <v>157</v>
      </c>
      <c r="L10" s="30" t="s">
        <v>224</v>
      </c>
      <c r="M10" s="24"/>
      <c r="N10" s="29"/>
      <c r="O10" s="25"/>
    </row>
    <row r="11" spans="1:67" ht="25.5" x14ac:dyDescent="0.2">
      <c r="A11" s="23">
        <f t="shared" si="0"/>
        <v>8</v>
      </c>
      <c r="B11" s="37" t="s">
        <v>179</v>
      </c>
      <c r="C11" s="38" t="s">
        <v>185</v>
      </c>
      <c r="D11" s="38" t="s">
        <v>187</v>
      </c>
      <c r="E11" s="60">
        <v>114</v>
      </c>
      <c r="F11" s="61">
        <v>110</v>
      </c>
      <c r="G11" s="61">
        <v>105</v>
      </c>
      <c r="H11" s="61">
        <v>100</v>
      </c>
      <c r="I11" s="106" t="s">
        <v>93</v>
      </c>
      <c r="J11" s="105" t="s">
        <v>694</v>
      </c>
      <c r="K11" s="31" t="s">
        <v>157</v>
      </c>
      <c r="L11" s="30" t="s">
        <v>158</v>
      </c>
      <c r="M11" s="24"/>
      <c r="N11" s="29"/>
      <c r="O11" s="25"/>
    </row>
    <row r="12" spans="1:67" ht="38.25" x14ac:dyDescent="0.2">
      <c r="A12" s="23">
        <f t="shared" si="0"/>
        <v>9</v>
      </c>
      <c r="B12" s="37" t="s">
        <v>179</v>
      </c>
      <c r="C12" s="38" t="s">
        <v>185</v>
      </c>
      <c r="D12" s="38" t="s">
        <v>187</v>
      </c>
      <c r="E12" s="60">
        <v>114</v>
      </c>
      <c r="F12" s="61">
        <v>110</v>
      </c>
      <c r="G12" s="61">
        <v>105</v>
      </c>
      <c r="H12" s="61">
        <v>100</v>
      </c>
      <c r="I12" s="106" t="s">
        <v>153</v>
      </c>
      <c r="J12" s="105" t="s">
        <v>697</v>
      </c>
      <c r="K12" s="31" t="s">
        <v>157</v>
      </c>
      <c r="L12" s="30" t="s">
        <v>224</v>
      </c>
      <c r="M12" s="24"/>
      <c r="N12" s="29"/>
      <c r="O12" s="25"/>
    </row>
    <row r="13" spans="1:67" ht="25.5" x14ac:dyDescent="0.2">
      <c r="A13" s="23">
        <f t="shared" si="0"/>
        <v>10</v>
      </c>
      <c r="B13" s="37" t="s">
        <v>142</v>
      </c>
      <c r="C13" s="38" t="s">
        <v>0</v>
      </c>
      <c r="D13" s="38"/>
      <c r="E13" s="60">
        <v>269</v>
      </c>
      <c r="F13" s="61">
        <v>313</v>
      </c>
      <c r="G13" s="61">
        <v>368</v>
      </c>
      <c r="H13" s="61">
        <v>423</v>
      </c>
      <c r="I13" s="106" t="s">
        <v>153</v>
      </c>
      <c r="J13" s="105" t="s">
        <v>704</v>
      </c>
      <c r="K13" s="31" t="s">
        <v>157</v>
      </c>
      <c r="L13" s="30" t="s">
        <v>224</v>
      </c>
      <c r="M13" s="24"/>
      <c r="N13" s="29">
        <v>13.02</v>
      </c>
      <c r="O13" s="25">
        <f t="shared" ref="O13:O18" si="1">N13*1000/H13</f>
        <v>30.780141843971631</v>
      </c>
    </row>
    <row r="14" spans="1:67" ht="25.5" x14ac:dyDescent="0.2">
      <c r="A14" s="23">
        <f t="shared" si="0"/>
        <v>11</v>
      </c>
      <c r="B14" s="37" t="s">
        <v>143</v>
      </c>
      <c r="C14" s="38" t="s">
        <v>0</v>
      </c>
      <c r="D14" s="38" t="s">
        <v>1</v>
      </c>
      <c r="E14" s="60">
        <v>78</v>
      </c>
      <c r="F14" s="61">
        <v>76</v>
      </c>
      <c r="G14" s="61">
        <v>124</v>
      </c>
      <c r="H14" s="61">
        <v>118</v>
      </c>
      <c r="I14" s="27" t="s">
        <v>93</v>
      </c>
      <c r="J14" s="105" t="s">
        <v>705</v>
      </c>
      <c r="K14" s="31" t="s">
        <v>157</v>
      </c>
      <c r="L14" s="30" t="s">
        <v>158</v>
      </c>
      <c r="M14" s="24"/>
      <c r="N14" s="29">
        <v>17.414999999999999</v>
      </c>
      <c r="O14" s="25">
        <f t="shared" si="1"/>
        <v>147.58474576271186</v>
      </c>
    </row>
    <row r="15" spans="1:67" ht="25.5" x14ac:dyDescent="0.2">
      <c r="A15" s="23"/>
      <c r="B15" s="37" t="s">
        <v>143</v>
      </c>
      <c r="C15" s="38" t="s">
        <v>0</v>
      </c>
      <c r="D15" s="38" t="s">
        <v>1</v>
      </c>
      <c r="E15" s="60">
        <v>78</v>
      </c>
      <c r="F15" s="61">
        <v>76</v>
      </c>
      <c r="G15" s="61">
        <v>124</v>
      </c>
      <c r="H15" s="61">
        <v>118</v>
      </c>
      <c r="I15" s="106" t="s">
        <v>153</v>
      </c>
      <c r="J15" s="105" t="s">
        <v>704</v>
      </c>
      <c r="K15" s="31" t="s">
        <v>157</v>
      </c>
      <c r="L15" s="30" t="s">
        <v>224</v>
      </c>
      <c r="M15" s="24"/>
      <c r="N15" s="29">
        <v>26.8</v>
      </c>
      <c r="O15" s="25">
        <f t="shared" si="1"/>
        <v>227.11864406779662</v>
      </c>
    </row>
    <row r="16" spans="1:67" ht="25.5" x14ac:dyDescent="0.2">
      <c r="A16" s="23">
        <f>IF(B16="",A14,A14+1)</f>
        <v>12</v>
      </c>
      <c r="B16" s="37" t="s">
        <v>144</v>
      </c>
      <c r="C16" s="38" t="s">
        <v>0</v>
      </c>
      <c r="D16" s="38" t="s">
        <v>2</v>
      </c>
      <c r="E16" s="60">
        <v>145</v>
      </c>
      <c r="F16" s="61">
        <v>134</v>
      </c>
      <c r="G16" s="61">
        <v>121</v>
      </c>
      <c r="H16" s="61">
        <v>107</v>
      </c>
      <c r="I16" s="106" t="s">
        <v>153</v>
      </c>
      <c r="J16" s="105" t="s">
        <v>704</v>
      </c>
      <c r="K16" s="31" t="s">
        <v>157</v>
      </c>
      <c r="L16" s="30" t="s">
        <v>224</v>
      </c>
      <c r="M16" s="24"/>
      <c r="N16" s="29"/>
      <c r="O16" s="25">
        <f t="shared" si="1"/>
        <v>0</v>
      </c>
    </row>
    <row r="17" spans="1:15" ht="25.5" x14ac:dyDescent="0.2">
      <c r="A17" s="23">
        <f t="shared" ref="A17:A31" si="2">IF(B17="",A16,A16+1)</f>
        <v>13</v>
      </c>
      <c r="B17" s="37" t="s">
        <v>145</v>
      </c>
      <c r="C17" s="38" t="s">
        <v>0</v>
      </c>
      <c r="D17" s="38" t="s">
        <v>3</v>
      </c>
      <c r="E17" s="60">
        <v>69</v>
      </c>
      <c r="F17" s="61">
        <v>70</v>
      </c>
      <c r="G17" s="61">
        <v>81</v>
      </c>
      <c r="H17" s="61">
        <v>135</v>
      </c>
      <c r="I17" s="27" t="s">
        <v>93</v>
      </c>
      <c r="J17" s="105" t="s">
        <v>702</v>
      </c>
      <c r="K17" s="31" t="s">
        <v>157</v>
      </c>
      <c r="L17" s="30" t="s">
        <v>224</v>
      </c>
      <c r="M17" s="24"/>
      <c r="N17" s="29">
        <f>5.062+7.7+2.5</f>
        <v>15.262</v>
      </c>
      <c r="O17" s="25">
        <f t="shared" si="1"/>
        <v>113.05185185185185</v>
      </c>
    </row>
    <row r="18" spans="1:15" ht="38.25" x14ac:dyDescent="0.2">
      <c r="A18" s="23">
        <f t="shared" si="2"/>
        <v>14</v>
      </c>
      <c r="B18" s="37" t="s">
        <v>145</v>
      </c>
      <c r="C18" s="38" t="s">
        <v>0</v>
      </c>
      <c r="D18" s="38" t="s">
        <v>3</v>
      </c>
      <c r="E18" s="60">
        <v>69</v>
      </c>
      <c r="F18" s="61">
        <v>70</v>
      </c>
      <c r="G18" s="61">
        <v>81</v>
      </c>
      <c r="H18" s="61">
        <v>135</v>
      </c>
      <c r="I18" s="27" t="s">
        <v>153</v>
      </c>
      <c r="J18" s="105" t="s">
        <v>703</v>
      </c>
      <c r="K18" s="31" t="s">
        <v>157</v>
      </c>
      <c r="L18" s="30" t="s">
        <v>224</v>
      </c>
      <c r="M18" s="24"/>
      <c r="N18" s="29">
        <v>22.8</v>
      </c>
      <c r="O18" s="25">
        <f t="shared" si="1"/>
        <v>168.88888888888889</v>
      </c>
    </row>
    <row r="19" spans="1:15" ht="25.5" x14ac:dyDescent="0.2">
      <c r="A19" s="23">
        <f t="shared" si="2"/>
        <v>15</v>
      </c>
      <c r="B19" s="37" t="s">
        <v>699</v>
      </c>
      <c r="C19" s="38" t="s">
        <v>0</v>
      </c>
      <c r="D19" s="108" t="s">
        <v>700</v>
      </c>
      <c r="E19" s="60">
        <v>138</v>
      </c>
      <c r="F19" s="61">
        <v>135</v>
      </c>
      <c r="G19" s="61">
        <v>129</v>
      </c>
      <c r="H19" s="61">
        <v>127</v>
      </c>
      <c r="I19" s="106" t="s">
        <v>153</v>
      </c>
      <c r="J19" s="105" t="s">
        <v>701</v>
      </c>
      <c r="K19" s="31" t="s">
        <v>157</v>
      </c>
      <c r="L19" s="30" t="s">
        <v>224</v>
      </c>
      <c r="M19" s="24"/>
      <c r="N19" s="29"/>
      <c r="O19" s="25"/>
    </row>
    <row r="20" spans="1:15" ht="25.5" x14ac:dyDescent="0.2">
      <c r="A20" s="23">
        <f t="shared" si="2"/>
        <v>16</v>
      </c>
      <c r="B20" s="107" t="s">
        <v>706</v>
      </c>
      <c r="C20" s="108" t="s">
        <v>707</v>
      </c>
      <c r="D20" s="38"/>
      <c r="E20" s="60">
        <v>427</v>
      </c>
      <c r="F20" s="61">
        <v>433</v>
      </c>
      <c r="G20" s="61">
        <v>441</v>
      </c>
      <c r="H20" s="61">
        <v>449</v>
      </c>
      <c r="I20" s="106" t="s">
        <v>93</v>
      </c>
      <c r="J20" s="105" t="s">
        <v>708</v>
      </c>
      <c r="K20" s="31" t="s">
        <v>157</v>
      </c>
      <c r="L20" s="30" t="s">
        <v>224</v>
      </c>
      <c r="M20" s="24"/>
      <c r="N20" s="29"/>
      <c r="O20" s="25"/>
    </row>
    <row r="21" spans="1:15" ht="25.5" x14ac:dyDescent="0.2">
      <c r="A21" s="23">
        <f t="shared" si="2"/>
        <v>17</v>
      </c>
      <c r="B21" s="107" t="s">
        <v>706</v>
      </c>
      <c r="C21" s="108" t="s">
        <v>707</v>
      </c>
      <c r="D21" s="38"/>
      <c r="E21" s="60">
        <v>427</v>
      </c>
      <c r="F21" s="61">
        <v>433</v>
      </c>
      <c r="G21" s="61">
        <v>441</v>
      </c>
      <c r="H21" s="61">
        <v>449</v>
      </c>
      <c r="I21" s="106" t="s">
        <v>153</v>
      </c>
      <c r="J21" s="105" t="s">
        <v>709</v>
      </c>
      <c r="K21" s="31" t="s">
        <v>157</v>
      </c>
      <c r="L21" s="30" t="s">
        <v>224</v>
      </c>
      <c r="M21" s="24"/>
      <c r="N21" s="29">
        <v>10.454000000000001</v>
      </c>
      <c r="O21" s="25">
        <f>N21*1000/H21</f>
        <v>23.282850779510021</v>
      </c>
    </row>
    <row r="22" spans="1:15" ht="25.5" x14ac:dyDescent="0.2">
      <c r="A22" s="23">
        <f t="shared" si="2"/>
        <v>18</v>
      </c>
      <c r="B22" s="107" t="s">
        <v>710</v>
      </c>
      <c r="C22" s="108" t="s">
        <v>711</v>
      </c>
      <c r="D22" s="38"/>
      <c r="E22" s="60"/>
      <c r="F22" s="61"/>
      <c r="G22" s="61"/>
      <c r="H22" s="61"/>
      <c r="I22" s="106" t="s">
        <v>93</v>
      </c>
      <c r="J22" s="105" t="s">
        <v>712</v>
      </c>
      <c r="K22" s="31" t="s">
        <v>156</v>
      </c>
      <c r="L22" s="30"/>
      <c r="M22" s="24"/>
      <c r="N22" s="29"/>
      <c r="O22" s="25"/>
    </row>
    <row r="23" spans="1:15" ht="38.25" x14ac:dyDescent="0.2">
      <c r="A23" s="23">
        <f t="shared" si="2"/>
        <v>19</v>
      </c>
      <c r="B23" s="37" t="s">
        <v>146</v>
      </c>
      <c r="C23" s="38" t="s">
        <v>4</v>
      </c>
      <c r="D23" s="38"/>
      <c r="E23" s="60">
        <v>614</v>
      </c>
      <c r="F23" s="61">
        <v>553</v>
      </c>
      <c r="G23" s="61">
        <v>476</v>
      </c>
      <c r="H23" s="61">
        <v>399</v>
      </c>
      <c r="I23" s="27" t="s">
        <v>93</v>
      </c>
      <c r="J23" s="105" t="s">
        <v>715</v>
      </c>
      <c r="K23" s="31" t="s">
        <v>157</v>
      </c>
      <c r="L23" s="30" t="s">
        <v>158</v>
      </c>
      <c r="M23" s="24"/>
      <c r="N23" s="29"/>
      <c r="O23" s="25"/>
    </row>
    <row r="24" spans="1:15" ht="38.25" x14ac:dyDescent="0.2">
      <c r="A24" s="23">
        <f t="shared" si="2"/>
        <v>20</v>
      </c>
      <c r="B24" s="107" t="s">
        <v>713</v>
      </c>
      <c r="C24" s="108" t="s">
        <v>4</v>
      </c>
      <c r="D24" s="108" t="s">
        <v>714</v>
      </c>
      <c r="E24" s="60">
        <v>1932</v>
      </c>
      <c r="F24" s="61">
        <v>1950</v>
      </c>
      <c r="G24" s="61">
        <v>1972</v>
      </c>
      <c r="H24" s="61">
        <v>1994</v>
      </c>
      <c r="I24" s="106" t="s">
        <v>93</v>
      </c>
      <c r="J24" s="105" t="s">
        <v>715</v>
      </c>
      <c r="K24" s="31" t="s">
        <v>157</v>
      </c>
      <c r="L24" s="30" t="s">
        <v>158</v>
      </c>
      <c r="M24" s="24"/>
      <c r="N24" s="29"/>
      <c r="O24" s="25"/>
    </row>
    <row r="25" spans="1:15" x14ac:dyDescent="0.2">
      <c r="A25" s="23">
        <f t="shared" si="2"/>
        <v>21</v>
      </c>
      <c r="B25" s="107" t="s">
        <v>147</v>
      </c>
      <c r="C25" s="108" t="s">
        <v>6</v>
      </c>
      <c r="D25" s="38"/>
      <c r="E25" s="60">
        <v>3929</v>
      </c>
      <c r="F25" s="61">
        <v>4011</v>
      </c>
      <c r="G25" s="61">
        <v>4113</v>
      </c>
      <c r="H25" s="61">
        <v>4215</v>
      </c>
      <c r="I25" s="106" t="s">
        <v>93</v>
      </c>
      <c r="J25" s="105" t="s">
        <v>414</v>
      </c>
      <c r="K25" s="31" t="s">
        <v>157</v>
      </c>
      <c r="L25" s="30" t="s">
        <v>158</v>
      </c>
      <c r="M25" s="24"/>
      <c r="N25" s="29"/>
      <c r="O25" s="25"/>
    </row>
    <row r="26" spans="1:15" x14ac:dyDescent="0.2">
      <c r="A26" s="23">
        <f t="shared" si="2"/>
        <v>22</v>
      </c>
      <c r="B26" s="107" t="s">
        <v>148</v>
      </c>
      <c r="C26" s="108" t="s">
        <v>6</v>
      </c>
      <c r="D26" s="108" t="s">
        <v>5</v>
      </c>
      <c r="E26" s="60">
        <v>211</v>
      </c>
      <c r="F26" s="61">
        <v>204</v>
      </c>
      <c r="G26" s="61">
        <v>195</v>
      </c>
      <c r="H26" s="61">
        <v>187</v>
      </c>
      <c r="I26" s="106" t="s">
        <v>93</v>
      </c>
      <c r="J26" s="105" t="s">
        <v>414</v>
      </c>
      <c r="K26" s="31" t="s">
        <v>157</v>
      </c>
      <c r="L26" s="30" t="s">
        <v>158</v>
      </c>
      <c r="M26" s="24"/>
      <c r="N26" s="29"/>
      <c r="O26" s="25"/>
    </row>
    <row r="27" spans="1:15" x14ac:dyDescent="0.2">
      <c r="A27" s="23">
        <f t="shared" si="2"/>
        <v>23</v>
      </c>
      <c r="B27" s="107" t="s">
        <v>148</v>
      </c>
      <c r="C27" s="108" t="s">
        <v>6</v>
      </c>
      <c r="D27" s="108" t="s">
        <v>5</v>
      </c>
      <c r="E27" s="60">
        <v>211</v>
      </c>
      <c r="F27" s="61">
        <v>204</v>
      </c>
      <c r="G27" s="61">
        <v>195</v>
      </c>
      <c r="H27" s="61">
        <v>187</v>
      </c>
      <c r="I27" s="106" t="s">
        <v>153</v>
      </c>
      <c r="J27" s="105" t="s">
        <v>477</v>
      </c>
      <c r="K27" s="31" t="s">
        <v>157</v>
      </c>
      <c r="L27" s="30" t="s">
        <v>158</v>
      </c>
      <c r="M27" s="24"/>
      <c r="N27" s="29"/>
      <c r="O27" s="25"/>
    </row>
    <row r="28" spans="1:15" ht="25.5" x14ac:dyDescent="0.2">
      <c r="A28" s="23">
        <f t="shared" si="2"/>
        <v>24</v>
      </c>
      <c r="B28" s="107" t="s">
        <v>716</v>
      </c>
      <c r="C28" s="108" t="s">
        <v>717</v>
      </c>
      <c r="D28" s="38"/>
      <c r="E28" s="60">
        <v>209</v>
      </c>
      <c r="F28" s="61">
        <v>211</v>
      </c>
      <c r="G28" s="61">
        <v>214</v>
      </c>
      <c r="H28" s="61">
        <v>220</v>
      </c>
      <c r="I28" s="106" t="s">
        <v>93</v>
      </c>
      <c r="J28" s="105" t="s">
        <v>718</v>
      </c>
      <c r="K28" s="31" t="s">
        <v>157</v>
      </c>
      <c r="L28" s="30" t="s">
        <v>224</v>
      </c>
      <c r="M28" s="24"/>
      <c r="N28" s="29">
        <v>10.154</v>
      </c>
      <c r="O28" s="25">
        <f>N28*1000/H28</f>
        <v>46.154545454545456</v>
      </c>
    </row>
    <row r="29" spans="1:15" ht="25.5" x14ac:dyDescent="0.2">
      <c r="A29" s="23">
        <f t="shared" si="2"/>
        <v>25</v>
      </c>
      <c r="B29" s="107" t="s">
        <v>719</v>
      </c>
      <c r="C29" s="108" t="s">
        <v>720</v>
      </c>
      <c r="D29" s="38"/>
      <c r="E29" s="60">
        <v>87</v>
      </c>
      <c r="F29" s="61">
        <v>83</v>
      </c>
      <c r="G29" s="61">
        <v>78</v>
      </c>
      <c r="H29" s="61">
        <v>128</v>
      </c>
      <c r="I29" s="106" t="s">
        <v>93</v>
      </c>
      <c r="J29" s="105" t="s">
        <v>723</v>
      </c>
      <c r="K29" s="31" t="s">
        <v>157</v>
      </c>
      <c r="L29" s="30" t="s">
        <v>224</v>
      </c>
      <c r="M29" s="24"/>
      <c r="N29" s="29">
        <v>3.5</v>
      </c>
      <c r="O29" s="25">
        <f>N29*1000/H29</f>
        <v>27.34375</v>
      </c>
    </row>
    <row r="30" spans="1:15" ht="51" x14ac:dyDescent="0.2">
      <c r="A30" s="23">
        <f t="shared" si="2"/>
        <v>26</v>
      </c>
      <c r="B30" s="107" t="s">
        <v>719</v>
      </c>
      <c r="C30" s="108" t="s">
        <v>720</v>
      </c>
      <c r="D30" s="38"/>
      <c r="E30" s="60">
        <v>87</v>
      </c>
      <c r="F30" s="61">
        <v>83</v>
      </c>
      <c r="G30" s="61">
        <v>78</v>
      </c>
      <c r="H30" s="61">
        <v>128</v>
      </c>
      <c r="I30" s="106" t="s">
        <v>153</v>
      </c>
      <c r="J30" s="105" t="s">
        <v>722</v>
      </c>
      <c r="K30" s="31" t="s">
        <v>157</v>
      </c>
      <c r="L30" s="30" t="s">
        <v>158</v>
      </c>
      <c r="M30" s="24"/>
      <c r="N30" s="29"/>
      <c r="O30" s="132"/>
    </row>
    <row r="31" spans="1:15" ht="25.5" x14ac:dyDescent="0.2">
      <c r="A31" s="23">
        <f t="shared" si="2"/>
        <v>27</v>
      </c>
      <c r="B31" s="37" t="s">
        <v>123</v>
      </c>
      <c r="C31" s="38" t="s">
        <v>122</v>
      </c>
      <c r="D31" s="38" t="s">
        <v>124</v>
      </c>
      <c r="E31" s="60">
        <v>217</v>
      </c>
      <c r="F31" s="61">
        <v>207</v>
      </c>
      <c r="G31" s="61">
        <v>195</v>
      </c>
      <c r="H31" s="61">
        <v>183</v>
      </c>
      <c r="I31" s="106" t="s">
        <v>93</v>
      </c>
      <c r="J31" s="105" t="s">
        <v>721</v>
      </c>
      <c r="K31" s="31" t="s">
        <v>157</v>
      </c>
      <c r="L31" s="30" t="s">
        <v>180</v>
      </c>
      <c r="M31" s="24"/>
      <c r="N31" s="29"/>
      <c r="O31" s="25"/>
    </row>
  </sheetData>
  <autoFilter ref="A3:O31"/>
  <mergeCells count="2">
    <mergeCell ref="M1:N1"/>
    <mergeCell ref="E1:H1"/>
  </mergeCells>
  <phoneticPr fontId="2" type="noConversion"/>
  <conditionalFormatting sqref="A4:A15 A17:A19 A21:A31">
    <cfRule type="cellIs" dxfId="64" priority="1" stopIfTrue="1" operator="equal">
      <formula>A3</formula>
    </cfRule>
  </conditionalFormatting>
  <conditionalFormatting sqref="A16 A20">
    <cfRule type="cellIs" dxfId="63" priority="2" stopIfTrue="1" operator="equal">
      <formula>A14</formula>
    </cfRule>
  </conditionalFormatting>
  <conditionalFormatting sqref="N4:N31">
    <cfRule type="cellIs" dxfId="62" priority="3" stopIfTrue="1" operator="equal">
      <formula>0</formula>
    </cfRule>
  </conditionalFormatting>
  <conditionalFormatting sqref="A3">
    <cfRule type="cellIs" dxfId="61" priority="4" stopIfTrue="1" operator="equal">
      <formula>#REF!</formula>
    </cfRule>
  </conditionalFormatting>
  <conditionalFormatting sqref="A26 A13">
    <cfRule type="cellIs" dxfId="60" priority="6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zoomScale="90" zoomScaleNormal="90" zoomScaleSheetLayoutView="90" workbookViewId="0">
      <selection activeCell="J1" sqref="J1"/>
    </sheetView>
  </sheetViews>
  <sheetFormatPr defaultRowHeight="12.75" x14ac:dyDescent="0.2"/>
  <cols>
    <col min="1" max="1" width="5.42578125" style="1" customWidth="1"/>
    <col min="2" max="2" width="13" style="1" bestFit="1" customWidth="1"/>
    <col min="3" max="3" width="14.28515625" style="1" customWidth="1"/>
    <col min="4" max="4" width="11.28515625" style="1" customWidth="1"/>
    <col min="5" max="8" width="5.7109375" customWidth="1"/>
    <col min="9" max="9" width="10" style="2" customWidth="1"/>
    <col min="10" max="10" width="50.7109375" style="1" customWidth="1"/>
    <col min="11" max="11" width="9.7109375" style="1" customWidth="1"/>
    <col min="12" max="12" width="11" style="1" customWidth="1"/>
    <col min="13" max="13" width="8.85546875" style="1" customWidth="1"/>
    <col min="14" max="14" width="12.5703125" style="1" customWidth="1"/>
    <col min="15" max="15" width="11.42578125" style="1" customWidth="1"/>
    <col min="16" max="16" width="4.42578125" style="1" customWidth="1"/>
    <col min="17" max="34" width="9.140625" style="1"/>
    <col min="35" max="35" width="10.140625" style="1" bestFit="1" customWidth="1"/>
    <col min="36" max="36" width="10.140625" style="1" customWidth="1"/>
    <col min="37" max="37" width="11.42578125" style="1" bestFit="1" customWidth="1"/>
    <col min="38" max="38" width="9.140625" style="1"/>
    <col min="39" max="39" width="12.28515625" style="1" bestFit="1" customWidth="1"/>
    <col min="40" max="16384" width="9.140625" style="1"/>
  </cols>
  <sheetData>
    <row r="1" spans="1:67" s="4" customFormat="1" ht="91.5" customHeight="1" thickTop="1" x14ac:dyDescent="0.2">
      <c r="A1" s="11" t="s">
        <v>948</v>
      </c>
      <c r="B1" s="20" t="s">
        <v>86</v>
      </c>
      <c r="C1" s="20" t="s">
        <v>87</v>
      </c>
      <c r="D1" s="20" t="s">
        <v>88</v>
      </c>
      <c r="E1" s="139" t="s">
        <v>152</v>
      </c>
      <c r="F1" s="140"/>
      <c r="G1" s="140"/>
      <c r="H1" s="141"/>
      <c r="I1" s="20" t="s">
        <v>89</v>
      </c>
      <c r="J1" s="20" t="s">
        <v>947</v>
      </c>
      <c r="K1" s="20" t="s">
        <v>159</v>
      </c>
      <c r="L1" s="20" t="s">
        <v>90</v>
      </c>
      <c r="M1" s="137" t="s">
        <v>203</v>
      </c>
      <c r="N1" s="138"/>
      <c r="O1" s="21" t="s">
        <v>107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/>
      <c r="AH1" s="9"/>
      <c r="AI1" s="9"/>
      <c r="AJ1" s="9"/>
      <c r="AK1" s="9"/>
      <c r="AL1" s="9"/>
      <c r="AM1" s="9"/>
    </row>
    <row r="2" spans="1:67" ht="23.25" thickBot="1" x14ac:dyDescent="0.25">
      <c r="A2" s="48"/>
      <c r="B2" s="49"/>
      <c r="C2" s="49"/>
      <c r="D2" s="50" t="s">
        <v>195</v>
      </c>
      <c r="E2" s="50">
        <v>2002</v>
      </c>
      <c r="F2" s="50">
        <v>2005</v>
      </c>
      <c r="G2" s="50">
        <v>2010</v>
      </c>
      <c r="H2" s="50">
        <v>2015</v>
      </c>
      <c r="I2" s="50"/>
      <c r="J2" s="50"/>
      <c r="K2" s="50"/>
      <c r="L2" s="50"/>
      <c r="M2" s="51" t="s">
        <v>91</v>
      </c>
      <c r="N2" s="52" t="s">
        <v>92</v>
      </c>
      <c r="O2" s="53"/>
    </row>
    <row r="3" spans="1:67" s="3" customFormat="1" ht="13.5" thickBot="1" x14ac:dyDescent="0.25">
      <c r="A3" s="54"/>
      <c r="B3" s="55"/>
      <c r="C3" s="55" t="s">
        <v>188</v>
      </c>
      <c r="D3" s="56"/>
      <c r="E3" s="57"/>
      <c r="F3" s="57"/>
      <c r="G3" s="57"/>
      <c r="H3" s="57"/>
      <c r="I3" s="58"/>
      <c r="J3" s="58"/>
      <c r="K3" s="58"/>
      <c r="L3" s="58"/>
      <c r="M3" s="58"/>
      <c r="N3" s="59"/>
      <c r="O3" s="5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67" s="3" customFormat="1" ht="25.5" x14ac:dyDescent="0.2">
      <c r="A4" s="23">
        <f t="shared" ref="A4:A20" si="0">IF(B4="",A3,A3+1)</f>
        <v>1</v>
      </c>
      <c r="B4" s="122" t="s">
        <v>644</v>
      </c>
      <c r="C4" s="123" t="s">
        <v>643</v>
      </c>
      <c r="D4" s="82"/>
      <c r="E4" s="63">
        <v>69</v>
      </c>
      <c r="F4" s="64">
        <v>65</v>
      </c>
      <c r="G4" s="64">
        <v>60</v>
      </c>
      <c r="H4" s="64">
        <v>85</v>
      </c>
      <c r="I4" s="102" t="s">
        <v>93</v>
      </c>
      <c r="J4" s="121" t="s">
        <v>660</v>
      </c>
      <c r="K4" s="67" t="s">
        <v>157</v>
      </c>
      <c r="L4" s="83" t="s">
        <v>158</v>
      </c>
      <c r="M4" s="40"/>
      <c r="N4" s="42">
        <f>0.766+1.8+2.2</f>
        <v>4.766</v>
      </c>
      <c r="O4" s="68">
        <f>N4*1000/H4</f>
        <v>56.070588235294117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s="3" customFormat="1" ht="25.5" x14ac:dyDescent="0.2">
      <c r="A5" s="23">
        <f t="shared" si="0"/>
        <v>2</v>
      </c>
      <c r="B5" s="117" t="s">
        <v>644</v>
      </c>
      <c r="C5" s="118" t="s">
        <v>643</v>
      </c>
      <c r="D5" s="91"/>
      <c r="E5" s="92">
        <v>69</v>
      </c>
      <c r="F5" s="93">
        <v>65</v>
      </c>
      <c r="G5" s="93">
        <v>60</v>
      </c>
      <c r="H5" s="93">
        <v>85</v>
      </c>
      <c r="I5" s="119" t="s">
        <v>153</v>
      </c>
      <c r="J5" s="120" t="s">
        <v>661</v>
      </c>
      <c r="K5" s="95" t="s">
        <v>157</v>
      </c>
      <c r="L5" s="96" t="s">
        <v>158</v>
      </c>
      <c r="M5" s="94"/>
      <c r="N5" s="97">
        <v>4.1500000000000004</v>
      </c>
      <c r="O5" s="98">
        <f>N5*1000/H5</f>
        <v>48.823529411764703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s="3" customFormat="1" ht="25.5" x14ac:dyDescent="0.2">
      <c r="A6" s="23">
        <f t="shared" si="0"/>
        <v>3</v>
      </c>
      <c r="B6" s="107" t="s">
        <v>645</v>
      </c>
      <c r="C6" s="108" t="s">
        <v>646</v>
      </c>
      <c r="D6" s="38"/>
      <c r="E6" s="60">
        <v>219</v>
      </c>
      <c r="F6" s="61">
        <v>225</v>
      </c>
      <c r="G6" s="61">
        <v>232</v>
      </c>
      <c r="H6" s="61">
        <v>240</v>
      </c>
      <c r="I6" s="106" t="s">
        <v>93</v>
      </c>
      <c r="J6" s="105" t="s">
        <v>659</v>
      </c>
      <c r="K6" s="31" t="s">
        <v>157</v>
      </c>
      <c r="L6" s="30" t="s">
        <v>158</v>
      </c>
      <c r="M6" s="24"/>
      <c r="N6" s="29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ht="51" x14ac:dyDescent="0.2">
      <c r="A7" s="23">
        <f t="shared" si="0"/>
        <v>4</v>
      </c>
      <c r="B7" s="107" t="s">
        <v>645</v>
      </c>
      <c r="C7" s="108" t="s">
        <v>646</v>
      </c>
      <c r="D7" s="38"/>
      <c r="E7" s="60">
        <v>219</v>
      </c>
      <c r="F7" s="61">
        <v>225</v>
      </c>
      <c r="G7" s="61">
        <v>232</v>
      </c>
      <c r="H7" s="61">
        <v>240</v>
      </c>
      <c r="I7" s="106" t="s">
        <v>153</v>
      </c>
      <c r="J7" s="105" t="s">
        <v>658</v>
      </c>
      <c r="K7" s="31" t="s">
        <v>157</v>
      </c>
      <c r="L7" s="30" t="s">
        <v>158</v>
      </c>
      <c r="M7" s="24"/>
      <c r="N7" s="29">
        <v>4.5199999999999996</v>
      </c>
      <c r="O7" s="25">
        <f>N7*1000/H7</f>
        <v>18.833333333333332</v>
      </c>
    </row>
    <row r="8" spans="1:67" ht="25.5" x14ac:dyDescent="0.2">
      <c r="A8" s="23">
        <f t="shared" si="0"/>
        <v>5</v>
      </c>
      <c r="B8" s="107" t="s">
        <v>647</v>
      </c>
      <c r="C8" s="108" t="s">
        <v>646</v>
      </c>
      <c r="D8" s="108" t="s">
        <v>648</v>
      </c>
      <c r="E8" s="60"/>
      <c r="F8" s="61"/>
      <c r="G8" s="61"/>
      <c r="H8" s="61"/>
      <c r="I8" s="106" t="s">
        <v>153</v>
      </c>
      <c r="J8" s="105" t="s">
        <v>649</v>
      </c>
      <c r="K8" s="31" t="s">
        <v>156</v>
      </c>
      <c r="L8" s="30"/>
      <c r="M8" s="24"/>
      <c r="N8" s="29"/>
      <c r="O8" s="25"/>
    </row>
    <row r="9" spans="1:67" ht="25.5" x14ac:dyDescent="0.2">
      <c r="A9" s="23">
        <f t="shared" si="0"/>
        <v>6</v>
      </c>
      <c r="B9" s="107" t="s">
        <v>650</v>
      </c>
      <c r="C9" s="108" t="s">
        <v>646</v>
      </c>
      <c r="D9" s="108" t="s">
        <v>651</v>
      </c>
      <c r="E9" s="60"/>
      <c r="F9" s="61"/>
      <c r="G9" s="61"/>
      <c r="H9" s="61"/>
      <c r="I9" s="106" t="s">
        <v>153</v>
      </c>
      <c r="J9" s="105" t="s">
        <v>652</v>
      </c>
      <c r="K9" s="31" t="s">
        <v>156</v>
      </c>
      <c r="L9" s="30"/>
      <c r="M9" s="24"/>
      <c r="N9" s="29"/>
      <c r="O9" s="25"/>
    </row>
    <row r="10" spans="1:67" ht="38.25" x14ac:dyDescent="0.2">
      <c r="A10" s="23">
        <f t="shared" si="0"/>
        <v>7</v>
      </c>
      <c r="B10" s="107" t="s">
        <v>653</v>
      </c>
      <c r="C10" s="108" t="s">
        <v>646</v>
      </c>
      <c r="D10" s="108" t="s">
        <v>654</v>
      </c>
      <c r="E10" s="60"/>
      <c r="F10" s="61"/>
      <c r="G10" s="61"/>
      <c r="H10" s="61"/>
      <c r="I10" s="106" t="s">
        <v>153</v>
      </c>
      <c r="J10" s="105" t="s">
        <v>655</v>
      </c>
      <c r="K10" s="31" t="s">
        <v>157</v>
      </c>
      <c r="L10" s="30" t="s">
        <v>158</v>
      </c>
      <c r="M10" s="24"/>
      <c r="N10" s="29"/>
      <c r="O10" s="25"/>
    </row>
    <row r="11" spans="1:67" ht="39.75" customHeight="1" x14ac:dyDescent="0.2">
      <c r="A11" s="23">
        <f t="shared" si="0"/>
        <v>8</v>
      </c>
      <c r="B11" s="107" t="s">
        <v>656</v>
      </c>
      <c r="C11" s="108" t="s">
        <v>646</v>
      </c>
      <c r="D11" s="108" t="s">
        <v>657</v>
      </c>
      <c r="E11" s="60"/>
      <c r="F11" s="61"/>
      <c r="G11" s="61"/>
      <c r="H11" s="61"/>
      <c r="I11" s="106" t="s">
        <v>153</v>
      </c>
      <c r="J11" s="44" t="s">
        <v>652</v>
      </c>
      <c r="K11" s="31" t="s">
        <v>157</v>
      </c>
      <c r="L11" s="30" t="s">
        <v>158</v>
      </c>
      <c r="M11" s="24"/>
      <c r="N11" s="29"/>
      <c r="O11" s="25"/>
    </row>
    <row r="12" spans="1:67" ht="26.25" customHeight="1" x14ac:dyDescent="0.2">
      <c r="A12" s="23">
        <f t="shared" si="0"/>
        <v>9</v>
      </c>
      <c r="B12" s="107" t="s">
        <v>662</v>
      </c>
      <c r="C12" s="108" t="s">
        <v>663</v>
      </c>
      <c r="D12" s="38"/>
      <c r="E12" s="60">
        <v>53</v>
      </c>
      <c r="F12" s="61">
        <v>58</v>
      </c>
      <c r="G12" s="61">
        <v>64</v>
      </c>
      <c r="H12" s="61">
        <v>70</v>
      </c>
      <c r="I12" s="106" t="s">
        <v>93</v>
      </c>
      <c r="J12" s="105" t="s">
        <v>675</v>
      </c>
      <c r="K12" s="31" t="s">
        <v>157</v>
      </c>
      <c r="L12" s="30" t="s">
        <v>224</v>
      </c>
      <c r="M12" s="24"/>
      <c r="N12" s="29">
        <v>10</v>
      </c>
      <c r="O12" s="25">
        <f>N12*1000/H12</f>
        <v>142.85714285714286</v>
      </c>
    </row>
    <row r="13" spans="1:67" x14ac:dyDescent="0.2">
      <c r="A13" s="23">
        <f t="shared" si="0"/>
        <v>10</v>
      </c>
      <c r="B13" s="107" t="s">
        <v>662</v>
      </c>
      <c r="C13" s="108" t="s">
        <v>663</v>
      </c>
      <c r="D13" s="38"/>
      <c r="E13" s="60">
        <v>53</v>
      </c>
      <c r="F13" s="61">
        <v>58</v>
      </c>
      <c r="G13" s="61">
        <v>64</v>
      </c>
      <c r="H13" s="61">
        <v>70</v>
      </c>
      <c r="I13" s="106" t="s">
        <v>153</v>
      </c>
      <c r="J13" s="105" t="s">
        <v>676</v>
      </c>
      <c r="K13" s="31" t="s">
        <v>157</v>
      </c>
      <c r="L13" s="30" t="s">
        <v>224</v>
      </c>
      <c r="M13" s="24"/>
      <c r="N13" s="29">
        <v>10</v>
      </c>
      <c r="O13" s="25">
        <f>N13*1000/H13</f>
        <v>142.85714285714286</v>
      </c>
    </row>
    <row r="14" spans="1:67" x14ac:dyDescent="0.2">
      <c r="A14" s="23">
        <f t="shared" si="0"/>
        <v>11</v>
      </c>
      <c r="B14" s="107" t="s">
        <v>665</v>
      </c>
      <c r="C14" s="108" t="s">
        <v>664</v>
      </c>
      <c r="D14" s="38"/>
      <c r="E14" s="60"/>
      <c r="F14" s="61"/>
      <c r="G14" s="61"/>
      <c r="H14" s="61"/>
      <c r="I14" s="106" t="s">
        <v>153</v>
      </c>
      <c r="J14" s="105" t="s">
        <v>666</v>
      </c>
      <c r="K14" s="31" t="s">
        <v>157</v>
      </c>
      <c r="L14" s="30" t="s">
        <v>224</v>
      </c>
      <c r="M14" s="24"/>
      <c r="N14" s="29"/>
      <c r="O14" s="25"/>
    </row>
    <row r="15" spans="1:67" ht="25.5" x14ac:dyDescent="0.2">
      <c r="A15" s="23">
        <f t="shared" si="0"/>
        <v>12</v>
      </c>
      <c r="B15" s="107" t="s">
        <v>667</v>
      </c>
      <c r="C15" s="108" t="s">
        <v>668</v>
      </c>
      <c r="D15" s="38"/>
      <c r="E15" s="60">
        <v>1533</v>
      </c>
      <c r="F15" s="61">
        <v>1540</v>
      </c>
      <c r="G15" s="61">
        <v>1548</v>
      </c>
      <c r="H15" s="61">
        <v>1557</v>
      </c>
      <c r="I15" s="106" t="s">
        <v>93</v>
      </c>
      <c r="J15" s="105" t="s">
        <v>669</v>
      </c>
      <c r="K15" s="31" t="s">
        <v>157</v>
      </c>
      <c r="L15" s="30" t="s">
        <v>158</v>
      </c>
      <c r="M15" s="24"/>
      <c r="N15" s="29">
        <f>5.64+8.728</f>
        <v>14.367999999999999</v>
      </c>
      <c r="O15" s="25">
        <f>N15*1000/H15</f>
        <v>9.2280025690430296</v>
      </c>
    </row>
    <row r="16" spans="1:67" ht="25.5" x14ac:dyDescent="0.2">
      <c r="A16" s="23">
        <f t="shared" si="0"/>
        <v>13</v>
      </c>
      <c r="B16" s="107" t="s">
        <v>667</v>
      </c>
      <c r="C16" s="108" t="s">
        <v>668</v>
      </c>
      <c r="D16" s="38"/>
      <c r="E16" s="60">
        <v>1533</v>
      </c>
      <c r="F16" s="61">
        <v>1540</v>
      </c>
      <c r="G16" s="61">
        <v>1548</v>
      </c>
      <c r="H16" s="61">
        <v>1557</v>
      </c>
      <c r="I16" s="106" t="s">
        <v>153</v>
      </c>
      <c r="J16" s="105" t="s">
        <v>670</v>
      </c>
      <c r="K16" s="31" t="s">
        <v>157</v>
      </c>
      <c r="L16" s="30" t="s">
        <v>158</v>
      </c>
      <c r="M16" s="24"/>
      <c r="N16" s="29">
        <v>26.221</v>
      </c>
      <c r="O16" s="25">
        <f>N16*1000/H16</f>
        <v>16.840719332048813</v>
      </c>
    </row>
    <row r="17" spans="1:15" ht="38.25" x14ac:dyDescent="0.2">
      <c r="A17" s="23">
        <f t="shared" si="0"/>
        <v>14</v>
      </c>
      <c r="B17" s="107" t="s">
        <v>671</v>
      </c>
      <c r="C17" s="108" t="s">
        <v>672</v>
      </c>
      <c r="D17" s="38"/>
      <c r="E17" s="60">
        <v>193</v>
      </c>
      <c r="F17" s="61">
        <v>191</v>
      </c>
      <c r="G17" s="61">
        <v>189</v>
      </c>
      <c r="H17" s="61">
        <v>188</v>
      </c>
      <c r="I17" s="106" t="s">
        <v>93</v>
      </c>
      <c r="J17" s="105" t="s">
        <v>679</v>
      </c>
      <c r="K17" s="31" t="s">
        <v>157</v>
      </c>
      <c r="L17" s="30" t="s">
        <v>158</v>
      </c>
      <c r="M17" s="24"/>
      <c r="N17" s="29"/>
      <c r="O17" s="25"/>
    </row>
    <row r="18" spans="1:15" ht="25.5" x14ac:dyDescent="0.2">
      <c r="A18" s="23">
        <f t="shared" si="0"/>
        <v>15</v>
      </c>
      <c r="B18" s="107" t="s">
        <v>671</v>
      </c>
      <c r="C18" s="108" t="s">
        <v>672</v>
      </c>
      <c r="D18" s="38"/>
      <c r="E18" s="60">
        <v>193</v>
      </c>
      <c r="F18" s="61">
        <v>191</v>
      </c>
      <c r="G18" s="61">
        <v>189</v>
      </c>
      <c r="H18" s="61">
        <v>188</v>
      </c>
      <c r="I18" s="106" t="s">
        <v>153</v>
      </c>
      <c r="J18" s="105" t="s">
        <v>680</v>
      </c>
      <c r="K18" s="31" t="s">
        <v>157</v>
      </c>
      <c r="L18" s="30" t="s">
        <v>158</v>
      </c>
      <c r="M18" s="24"/>
      <c r="N18" s="29"/>
      <c r="O18" s="25"/>
    </row>
    <row r="19" spans="1:15" ht="38.25" x14ac:dyDescent="0.2">
      <c r="A19" s="23">
        <f t="shared" si="0"/>
        <v>16</v>
      </c>
      <c r="B19" s="107" t="s">
        <v>674</v>
      </c>
      <c r="C19" s="108" t="s">
        <v>672</v>
      </c>
      <c r="D19" s="108" t="s">
        <v>673</v>
      </c>
      <c r="E19" s="60"/>
      <c r="F19" s="61"/>
      <c r="G19" s="61"/>
      <c r="H19" s="61"/>
      <c r="I19" s="27"/>
      <c r="J19" s="105" t="s">
        <v>677</v>
      </c>
      <c r="K19" s="31" t="s">
        <v>157</v>
      </c>
      <c r="L19" s="30" t="s">
        <v>158</v>
      </c>
      <c r="M19" s="24"/>
      <c r="N19" s="29"/>
      <c r="O19" s="25"/>
    </row>
    <row r="20" spans="1:15" ht="25.5" x14ac:dyDescent="0.2">
      <c r="A20" s="23">
        <f t="shared" si="0"/>
        <v>17</v>
      </c>
      <c r="B20" s="107" t="s">
        <v>674</v>
      </c>
      <c r="C20" s="108" t="s">
        <v>672</v>
      </c>
      <c r="D20" s="108" t="s">
        <v>673</v>
      </c>
      <c r="E20" s="60"/>
      <c r="F20" s="61"/>
      <c r="G20" s="61"/>
      <c r="H20" s="61"/>
      <c r="I20" s="27"/>
      <c r="J20" s="105" t="s">
        <v>678</v>
      </c>
      <c r="K20" s="31" t="s">
        <v>157</v>
      </c>
      <c r="L20" s="30" t="s">
        <v>158</v>
      </c>
      <c r="M20" s="24"/>
      <c r="N20" s="29"/>
      <c r="O20" s="25"/>
    </row>
  </sheetData>
  <autoFilter ref="A3:O20"/>
  <mergeCells count="2">
    <mergeCell ref="M1:N1"/>
    <mergeCell ref="E1:H1"/>
  </mergeCells>
  <phoneticPr fontId="2" type="noConversion"/>
  <conditionalFormatting sqref="A4:A20">
    <cfRule type="cellIs" dxfId="59" priority="1" stopIfTrue="1" operator="equal">
      <formula>A3</formula>
    </cfRule>
  </conditionalFormatting>
  <conditionalFormatting sqref="N4:N20">
    <cfRule type="cellIs" dxfId="58" priority="2" stopIfTrue="1" operator="equal">
      <formula>0</formula>
    </cfRule>
  </conditionalFormatting>
  <conditionalFormatting sqref="A3">
    <cfRule type="cellIs" dxfId="57" priority="3" stopIfTrue="1" operator="equal">
      <formula>#REF!</formula>
    </cfRule>
  </conditionalFormatting>
  <conditionalFormatting sqref="A6">
    <cfRule type="cellIs" dxfId="56" priority="5" stopIfTrue="1" operator="equal">
      <formula>#REF!</formula>
    </cfRule>
  </conditionalFormatting>
  <pageMargins left="0" right="0" top="0.98425196850393704" bottom="0.98425196850393704" header="0.51181102362204722" footer="0.51181102362204722"/>
  <pageSetup paperSize="9" scale="55" orientation="portrait" r:id="rId1"/>
  <headerFooter alignWithMargins="0">
    <oddHeader>&amp;RPříloha č. 1_Souhrn změn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3101_Blatná</vt:lpstr>
      <vt:lpstr>3102_České_Budějovice</vt:lpstr>
      <vt:lpstr>3103_Český Krumlov</vt:lpstr>
      <vt:lpstr>3104_Dačice</vt:lpstr>
      <vt:lpstr>3105_Jindřichův Hradec</vt:lpstr>
      <vt:lpstr>3106_Kaplice</vt:lpstr>
      <vt:lpstr>3107_Milevsko</vt:lpstr>
      <vt:lpstr>3108_Písek</vt:lpstr>
      <vt:lpstr>3109_Prachatice</vt:lpstr>
      <vt:lpstr>3110_Soběslav</vt:lpstr>
      <vt:lpstr>3111_Strakonice</vt:lpstr>
      <vt:lpstr>3112_Tábor</vt:lpstr>
      <vt:lpstr>3113_Trhové_Sviny</vt:lpstr>
      <vt:lpstr>3114_Třeboň</vt:lpstr>
      <vt:lpstr>3115_Týn nad Vltavou</vt:lpstr>
      <vt:lpstr>3116_Vimperk</vt:lpstr>
      <vt:lpstr>3117_Vodňany</vt:lpstr>
      <vt:lpstr>'3101_Blatná'!Názvy_tisku</vt:lpstr>
      <vt:lpstr>'3102_České_Budějovice'!Názvy_tisku</vt:lpstr>
      <vt:lpstr>'3103_Český Krumlov'!Názvy_tisku</vt:lpstr>
      <vt:lpstr>'3104_Dačice'!Názvy_tisku</vt:lpstr>
      <vt:lpstr>'3105_Jindřichův Hradec'!Názvy_tisku</vt:lpstr>
      <vt:lpstr>'3106_Kaplice'!Názvy_tisku</vt:lpstr>
      <vt:lpstr>'3107_Milevsko'!Názvy_tisku</vt:lpstr>
      <vt:lpstr>'3108_Písek'!Názvy_tisku</vt:lpstr>
      <vt:lpstr>'3109_Prachatice'!Názvy_tisku</vt:lpstr>
      <vt:lpstr>'3110_Soběslav'!Názvy_tisku</vt:lpstr>
      <vt:lpstr>'3111_Strakonice'!Názvy_tisku</vt:lpstr>
      <vt:lpstr>'3112_Tábor'!Názvy_tisku</vt:lpstr>
      <vt:lpstr>'3113_Trhové_Sviny'!Názvy_tisku</vt:lpstr>
      <vt:lpstr>'3114_Třeboň'!Názvy_tisku</vt:lpstr>
      <vt:lpstr>'3115_Týn nad Vltavou'!Názvy_tisku</vt:lpstr>
      <vt:lpstr>'3116_Vimperk'!Názvy_tisku</vt:lpstr>
      <vt:lpstr>'3117_Vodňany'!Názvy_tisku</vt:lpstr>
      <vt:lpstr>'3101_Blatná'!Oblast_tisku</vt:lpstr>
      <vt:lpstr>'3102_České_Budějovice'!Oblast_tisku</vt:lpstr>
      <vt:lpstr>'3103_Český Krumlov'!Oblast_tisku</vt:lpstr>
      <vt:lpstr>'3104_Dačice'!Oblast_tisku</vt:lpstr>
      <vt:lpstr>'3105_Jindřichův Hradec'!Oblast_tisku</vt:lpstr>
      <vt:lpstr>'3106_Kaplice'!Oblast_tisku</vt:lpstr>
      <vt:lpstr>'3107_Milevsko'!Oblast_tisku</vt:lpstr>
      <vt:lpstr>'3108_Písek'!Oblast_tisku</vt:lpstr>
      <vt:lpstr>'3109_Prachatice'!Oblast_tisku</vt:lpstr>
      <vt:lpstr>'3110_Soběslav'!Oblast_tisku</vt:lpstr>
      <vt:lpstr>'3111_Strakonice'!Oblast_tisku</vt:lpstr>
      <vt:lpstr>'3112_Tábor'!Oblast_tisku</vt:lpstr>
      <vt:lpstr>'3113_Trhové_Sviny'!Oblast_tisku</vt:lpstr>
      <vt:lpstr>'3114_Třeboň'!Oblast_tisku</vt:lpstr>
      <vt:lpstr>'3115_Týn nad Vltavou'!Oblast_tisku</vt:lpstr>
      <vt:lpstr>'3116_Vimperk'!Oblast_tisku</vt:lpstr>
      <vt:lpstr>'3117_Vodňany'!Oblast_tisku</vt:lpstr>
    </vt:vector>
  </TitlesOfParts>
  <Company>IKP Consulting Engineers,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Novák</dc:creator>
  <cp:lastModifiedBy>Monika Wögebauerová</cp:lastModifiedBy>
  <cp:lastPrinted>2018-03-14T09:09:13Z</cp:lastPrinted>
  <dcterms:created xsi:type="dcterms:W3CDTF">2008-01-10T13:37:09Z</dcterms:created>
  <dcterms:modified xsi:type="dcterms:W3CDTF">2018-03-21T09:19:41Z</dcterms:modified>
</cp:coreProperties>
</file>